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17205" yWindow="3615" windowWidth="18180" windowHeight="16875"/>
  </bookViews>
  <sheets>
    <sheet name="1-5-50" sheetId="41" r:id="rId1"/>
  </sheets>
  <definedNames>
    <definedName name="_xlnm._FilterDatabase" localSheetId="0" hidden="1">'1-5-50'!$B$2:$Z$849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24" i="41" l="1"/>
  <c r="AP23" i="41"/>
  <c r="AP22" i="41"/>
  <c r="AP21" i="41"/>
  <c r="AP20" i="41"/>
  <c r="AQ19" i="41"/>
  <c r="AM19" i="41"/>
  <c r="AB10" i="41"/>
  <c r="X10" i="41"/>
  <c r="W10" i="41"/>
  <c r="V10" i="41"/>
  <c r="U10" i="41"/>
  <c r="T10" i="41"/>
  <c r="S10" i="41"/>
  <c r="R10" i="41"/>
  <c r="Q10" i="41"/>
  <c r="P10" i="41"/>
  <c r="O10" i="41"/>
  <c r="N10" i="41"/>
  <c r="M10" i="41"/>
  <c r="L10" i="41"/>
  <c r="K10" i="41"/>
  <c r="J10" i="41"/>
  <c r="I10" i="41"/>
  <c r="H10" i="41"/>
  <c r="G10" i="41"/>
  <c r="F10" i="41"/>
  <c r="E10" i="41"/>
  <c r="AD10" i="41" s="1"/>
  <c r="AH9" i="41"/>
  <c r="AB9" i="41"/>
  <c r="Y9" i="41"/>
  <c r="AF9" i="41" s="1"/>
  <c r="AH8" i="41"/>
  <c r="AB8" i="41"/>
  <c r="Y8" i="41"/>
  <c r="AI8" i="41" s="1"/>
  <c r="AH7" i="41"/>
  <c r="AB7" i="41"/>
  <c r="Y7" i="41"/>
  <c r="AI7" i="41" s="1"/>
  <c r="AH6" i="41"/>
  <c r="AB6" i="41"/>
  <c r="Y6" i="41"/>
  <c r="AI6" i="41" s="1"/>
  <c r="AH5" i="41"/>
  <c r="AB5" i="41"/>
  <c r="Y5" i="41"/>
  <c r="AF5" i="41" s="1"/>
  <c r="AH4" i="41"/>
  <c r="AB4" i="41"/>
  <c r="Y4" i="41"/>
  <c r="AI4" i="41" s="1"/>
  <c r="AH3" i="41"/>
  <c r="AE3" i="41"/>
  <c r="AB3" i="41"/>
  <c r="Y3" i="41"/>
  <c r="AF3" i="41" s="1"/>
  <c r="AI9" i="41" l="1"/>
  <c r="AG3" i="41"/>
  <c r="AF4" i="41"/>
  <c r="AI5" i="41"/>
  <c r="AF8" i="41"/>
  <c r="AI3" i="41"/>
  <c r="AF6" i="41"/>
  <c r="AG6" i="41" s="1"/>
  <c r="Y10" i="41"/>
  <c r="AF7" i="41"/>
  <c r="Z10" i="41" l="1"/>
  <c r="Z9" i="41"/>
  <c r="Z5" i="41"/>
  <c r="AA10" i="41"/>
  <c r="AG16" i="41"/>
  <c r="AM16" i="41" s="1"/>
  <c r="Z7" i="41"/>
  <c r="AG9" i="41"/>
  <c r="AG7" i="41"/>
  <c r="AG22" i="41" s="1"/>
  <c r="AG5" i="41"/>
  <c r="Z8" i="41"/>
  <c r="AG24" i="41"/>
  <c r="AH24" i="41"/>
  <c r="AG18" i="41"/>
  <c r="AH19" i="41"/>
  <c r="Z6" i="41"/>
  <c r="Z3" i="41"/>
  <c r="AG8" i="41"/>
  <c r="AG4" i="41"/>
  <c r="Z4" i="41"/>
  <c r="AJ4" i="41" l="1"/>
  <c r="AJ19" i="41" s="1"/>
  <c r="AP19" i="41" s="1"/>
  <c r="AA4" i="41"/>
  <c r="AJ6" i="41"/>
  <c r="AA6" i="41"/>
  <c r="AG19" i="41"/>
  <c r="AN19" i="41" s="1"/>
  <c r="AJ20" i="41"/>
  <c r="AO20" i="41" s="1"/>
  <c r="AG20" i="41"/>
  <c r="AM24" i="41"/>
  <c r="AJ5" i="41"/>
  <c r="AJ18" i="41" s="1"/>
  <c r="AM18" i="41" s="1"/>
  <c r="AA5" i="41"/>
  <c r="AH20" i="41"/>
  <c r="AG23" i="41"/>
  <c r="AH21" i="41"/>
  <c r="AH18" i="41"/>
  <c r="AM17" i="41" s="1"/>
  <c r="AA8" i="41"/>
  <c r="AJ8" i="41"/>
  <c r="AJ23" i="41" s="1"/>
  <c r="AO23" i="41" s="1"/>
  <c r="AJ7" i="41"/>
  <c r="AJ21" i="41" s="1"/>
  <c r="AO21" i="41" s="1"/>
  <c r="AA7" i="41"/>
  <c r="AJ9" i="41"/>
  <c r="AJ22" i="41" s="1"/>
  <c r="AO22" i="41" s="1"/>
  <c r="AA9" i="41"/>
  <c r="AJ3" i="41"/>
  <c r="AJ24" i="41" s="1"/>
  <c r="AO24" i="41" s="1"/>
  <c r="AA3" i="41"/>
  <c r="AH22" i="41"/>
  <c r="AM22" i="41" s="1"/>
  <c r="AH23" i="41"/>
  <c r="AG21" i="41"/>
  <c r="AM20" i="41" l="1"/>
  <c r="AF26" i="41" s="1"/>
  <c r="AM23" i="41"/>
  <c r="AM21" i="41"/>
</calcChain>
</file>

<file path=xl/sharedStrings.xml><?xml version="1.0" encoding="utf-8"?>
<sst xmlns="http://schemas.openxmlformats.org/spreadsheetml/2006/main" count="75" uniqueCount="65">
  <si>
    <t>台湾</t>
    <rPh sb="0" eb="2">
      <t>タイワン</t>
    </rPh>
    <phoneticPr fontId="5"/>
  </si>
  <si>
    <t>その他</t>
    <rPh sb="2" eb="3">
      <t>タ</t>
    </rPh>
    <phoneticPr fontId="5"/>
  </si>
  <si>
    <t>出願人国籍</t>
    <rPh sb="0" eb="2">
      <t>シュツガン</t>
    </rPh>
    <rPh sb="2" eb="3">
      <t>ニン</t>
    </rPh>
    <rPh sb="3" eb="5">
      <t>コクセキ</t>
    </rPh>
    <phoneticPr fontId="15"/>
  </si>
  <si>
    <t>合計</t>
    <rPh sb="0" eb="2">
      <t>ゴウケイ</t>
    </rPh>
    <phoneticPr fontId="15"/>
  </si>
  <si>
    <t>比率</t>
    <rPh sb="0" eb="2">
      <t>ヒリツ</t>
    </rPh>
    <phoneticPr fontId="15"/>
  </si>
  <si>
    <t>円グラフの表示</t>
    <rPh sb="0" eb="1">
      <t>エン</t>
    </rPh>
    <rPh sb="5" eb="7">
      <t>ヒョウジ</t>
    </rPh>
    <phoneticPr fontId="15"/>
  </si>
  <si>
    <t>棒グラフの凡例</t>
    <rPh sb="0" eb="1">
      <t>ボウ</t>
    </rPh>
    <rPh sb="5" eb="7">
      <t>ハンレイ</t>
    </rPh>
    <phoneticPr fontId="15"/>
  </si>
  <si>
    <t>横検算</t>
    <rPh sb="0" eb="1">
      <t>ヨコ</t>
    </rPh>
    <rPh sb="1" eb="3">
      <t>ケンザン</t>
    </rPh>
    <phoneticPr fontId="5"/>
  </si>
  <si>
    <t>出願先</t>
    <rPh sb="0" eb="2">
      <t>シュツガン</t>
    </rPh>
    <rPh sb="2" eb="3">
      <t>サキ</t>
    </rPh>
    <phoneticPr fontId="5"/>
  </si>
  <si>
    <t>日本</t>
    <phoneticPr fontId="15"/>
  </si>
  <si>
    <t>日本国籍</t>
    <rPh sb="0" eb="2">
      <t>ニホン</t>
    </rPh>
    <rPh sb="2" eb="4">
      <t>コクセキ</t>
    </rPh>
    <phoneticPr fontId="5"/>
  </si>
  <si>
    <t>米国</t>
    <phoneticPr fontId="15"/>
  </si>
  <si>
    <t>米国籍</t>
    <rPh sb="0" eb="3">
      <t>ベイコクセキ</t>
    </rPh>
    <phoneticPr fontId="5"/>
  </si>
  <si>
    <t>欧州</t>
    <phoneticPr fontId="15"/>
  </si>
  <si>
    <t>欧州国籍</t>
    <rPh sb="0" eb="2">
      <t>オウシュウ</t>
    </rPh>
    <rPh sb="2" eb="4">
      <t>コクセキ</t>
    </rPh>
    <phoneticPr fontId="5"/>
  </si>
  <si>
    <t>中国</t>
    <phoneticPr fontId="15"/>
  </si>
  <si>
    <t>中国籍</t>
    <rPh sb="0" eb="2">
      <t>チュウゴク</t>
    </rPh>
    <rPh sb="2" eb="3">
      <t>セキ</t>
    </rPh>
    <phoneticPr fontId="5"/>
  </si>
  <si>
    <t>韓国籍</t>
    <rPh sb="0" eb="2">
      <t>カンコク</t>
    </rPh>
    <rPh sb="2" eb="3">
      <t>セキ</t>
    </rPh>
    <phoneticPr fontId="5"/>
  </si>
  <si>
    <t>台湾籍</t>
    <rPh sb="0" eb="2">
      <t>タイワン</t>
    </rPh>
    <rPh sb="2" eb="3">
      <t>セキ</t>
    </rPh>
    <phoneticPr fontId="5"/>
  </si>
  <si>
    <t>合計</t>
    <rPh sb="0" eb="2">
      <t>ゴウケイ</t>
    </rPh>
    <phoneticPr fontId="5"/>
  </si>
  <si>
    <t>PCT出願</t>
    <rPh sb="3" eb="5">
      <t>シュツガン</t>
    </rPh>
    <phoneticPr fontId="5"/>
  </si>
  <si>
    <t>％を占めている。</t>
    <rPh sb="2" eb="3">
      <t>シ</t>
    </rPh>
    <phoneticPr fontId="5"/>
  </si>
  <si>
    <t>最も多い</t>
    <rPh sb="0" eb="1">
      <t>モット</t>
    </rPh>
    <rPh sb="2" eb="3">
      <t>オオ</t>
    </rPh>
    <phoneticPr fontId="5"/>
  </si>
  <si>
    <t>次いで、</t>
    <rPh sb="0" eb="1">
      <t>ツ</t>
    </rPh>
    <phoneticPr fontId="5"/>
  </si>
  <si>
    <t>(</t>
    <phoneticPr fontId="5"/>
  </si>
  <si>
    <t>)、</t>
    <phoneticPr fontId="5"/>
  </si>
  <si>
    <t>出願人国籍（筆頭）カテゴリ</t>
  </si>
  <si>
    <t>合計 出願番号（標準化）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</si>
  <si>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</si>
  <si>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</si>
  <si>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</si>
  <si>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</si>
  <si>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</si>
  <si>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</si>
  <si>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</si>
  <si>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</si>
  <si>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</si>
  <si>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</si>
  <si>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</si>
  <si>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</si>
  <si>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</si>
  <si>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</si>
  <si>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</si>
  <si>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</si>
  <si>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</si>
  <si>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</si>
  <si>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</si>
  <si>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01日本</t>
  </si>
  <si>
    <t>02米国</t>
  </si>
  <si>
    <t>03欧州</t>
  </si>
  <si>
    <t>04中国</t>
  </si>
  <si>
    <t>05韓国</t>
  </si>
  <si>
    <t>06台湾</t>
  </si>
  <si>
    <t>09その他</t>
  </si>
  <si>
    <t>論文発表
1999－2018年</t>
    <rPh sb="0" eb="2">
      <t>ロンブン</t>
    </rPh>
    <rPh sb="2" eb="4">
      <t>ハッピョウ</t>
    </rPh>
    <rPh sb="14" eb="15">
      <t>ネン</t>
    </rPh>
    <phoneticPr fontId="5"/>
  </si>
  <si>
    <t>韓国</t>
    <phoneticPr fontId="15"/>
  </si>
  <si>
    <t>論文発表件数（1999～2018年）</t>
    <rPh sb="0" eb="2">
      <t>ロンブン</t>
    </rPh>
    <rPh sb="2" eb="4">
      <t>ハッピョウ</t>
    </rPh>
    <rPh sb="4" eb="6">
      <t>ケンスウ</t>
    </rPh>
    <phoneticPr fontId="5"/>
  </si>
  <si>
    <t>研究者所属機関国籍（地域）</t>
    <rPh sb="0" eb="3">
      <t>ケンキュウシャ</t>
    </rPh>
    <rPh sb="3" eb="5">
      <t>ショゾク</t>
    </rPh>
    <rPh sb="5" eb="7">
      <t>キカン</t>
    </rPh>
    <rPh sb="7" eb="9">
      <t>コクセキ</t>
    </rPh>
    <rPh sb="10" eb="12">
      <t>チイキ</t>
    </rPh>
    <phoneticPr fontId="5"/>
  </si>
  <si>
    <t>(</t>
    <phoneticPr fontId="5"/>
  </si>
  <si>
    <t>(</t>
    <phoneticPr fontId="5"/>
  </si>
  <si>
    <t>(</t>
    <phoneticPr fontId="5"/>
  </si>
  <si>
    <t>)</t>
    <phoneticPr fontId="5"/>
  </si>
  <si>
    <t>である。</t>
    <phoneticPr fontId="5"/>
  </si>
  <si>
    <t>（資料）特許庁「令和元年度特許出願技術動向調査報告書－電子部品内蔵基板－」</t>
  </si>
  <si>
    <t>1-5-50 図【 研究者所属機関国籍（地域）別論文発表件数比率】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</si>
</sst>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_-* #,##0_-;\-* #,##0_-;_-* &quot;-&quot;_-;_-@_-"/>
    <numFmt numFmtId="178" formatCode="#,##0_);[Red]\(#,##0\)"/>
    <numFmt numFmtId="179" formatCode="#,##0.0_);[Red]\(#,##0.0\)"/>
    <numFmt numFmtId="180" formatCode="0.0_ 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">
    <xf numFmtId="0" fontId="0" fillId="0" borderId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/>
    <xf numFmtId="0" fontId="11" fillId="0" borderId="0">
      <alignment vertical="center"/>
    </xf>
    <xf numFmtId="0" fontId="13" fillId="0" borderId="0"/>
    <xf numFmtId="0" fontId="14" fillId="0" borderId="0"/>
    <xf numFmtId="0" fontId="14" fillId="0" borderId="0"/>
    <xf numFmtId="177" fontId="13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3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0" fontId="7" fillId="0" borderId="0" xfId="10" applyFont="1" applyFill="1" applyBorder="1" applyAlignment="1">
      <alignment vertical="center" wrapText="1"/>
    </xf>
    <xf numFmtId="0" fontId="14" fillId="0" borderId="0" xfId="11"/>
    <xf numFmtId="0" fontId="8" fillId="0" borderId="0" xfId="12" applyFont="1" applyAlignment="1">
      <alignment vertical="center"/>
    </xf>
    <xf numFmtId="0" fontId="12" fillId="0" borderId="0" xfId="19" applyFont="1" applyAlignment="1">
      <alignment vertical="center"/>
    </xf>
    <xf numFmtId="0" fontId="8" fillId="0" borderId="0" xfId="12" applyFont="1" applyAlignment="1">
      <alignment vertical="center" wrapText="1"/>
    </xf>
    <xf numFmtId="9" fontId="8" fillId="0" borderId="0" xfId="12" applyNumberFormat="1" applyFont="1" applyAlignment="1">
      <alignment vertical="center"/>
    </xf>
    <xf numFmtId="0" fontId="7" fillId="2" borderId="6" xfId="5" applyFont="1" applyFill="1" applyBorder="1" applyAlignment="1">
      <alignment horizontal="center" vertical="center"/>
    </xf>
    <xf numFmtId="0" fontId="7" fillId="3" borderId="6" xfId="5" applyFont="1" applyFill="1" applyBorder="1" applyAlignment="1">
      <alignment horizontal="center" vertical="center"/>
    </xf>
    <xf numFmtId="0" fontId="8" fillId="4" borderId="6" xfId="12" applyFont="1" applyFill="1" applyBorder="1" applyAlignment="1">
      <alignment vertical="center"/>
    </xf>
    <xf numFmtId="0" fontId="8" fillId="0" borderId="0" xfId="12" applyFont="1" applyFill="1" applyAlignment="1">
      <alignment vertical="center"/>
    </xf>
    <xf numFmtId="0" fontId="7" fillId="0" borderId="6" xfId="6" applyFont="1" applyFill="1" applyBorder="1" applyAlignment="1">
      <alignment vertical="center" wrapText="1"/>
    </xf>
    <xf numFmtId="0" fontId="8" fillId="0" borderId="6" xfId="12" applyFont="1" applyBorder="1" applyAlignment="1">
      <alignment vertical="center"/>
    </xf>
    <xf numFmtId="178" fontId="7" fillId="0" borderId="6" xfId="7" applyNumberFormat="1" applyFont="1" applyFill="1" applyBorder="1" applyAlignment="1">
      <alignment horizontal="right" vertical="center" wrapText="1"/>
    </xf>
    <xf numFmtId="176" fontId="12" fillId="0" borderId="6" xfId="8" applyNumberFormat="1" applyFont="1" applyBorder="1" applyAlignment="1">
      <alignment vertical="center"/>
    </xf>
    <xf numFmtId="0" fontId="7" fillId="0" borderId="6" xfId="5" applyFont="1" applyFill="1" applyBorder="1" applyAlignment="1">
      <alignment vertical="center"/>
    </xf>
    <xf numFmtId="179" fontId="8" fillId="0" borderId="0" xfId="12" applyNumberFormat="1" applyFont="1" applyAlignment="1">
      <alignment vertical="center"/>
    </xf>
    <xf numFmtId="178" fontId="8" fillId="0" borderId="0" xfId="12" applyNumberFormat="1" applyFont="1" applyAlignment="1">
      <alignment vertical="center"/>
    </xf>
    <xf numFmtId="176" fontId="8" fillId="0" borderId="0" xfId="12" applyNumberFormat="1" applyFont="1" applyAlignment="1">
      <alignment vertical="center"/>
    </xf>
    <xf numFmtId="0" fontId="8" fillId="0" borderId="0" xfId="12" applyFont="1" applyAlignment="1">
      <alignment horizontal="right" vertical="center"/>
    </xf>
    <xf numFmtId="0" fontId="8" fillId="0" borderId="0" xfId="12" applyFont="1" applyBorder="1" applyAlignment="1">
      <alignment vertical="center"/>
    </xf>
    <xf numFmtId="0" fontId="7" fillId="5" borderId="6" xfId="6" applyFont="1" applyFill="1" applyBorder="1" applyAlignment="1">
      <alignment vertical="center" wrapText="1"/>
    </xf>
    <xf numFmtId="38" fontId="8" fillId="6" borderId="6" xfId="20" applyFont="1" applyFill="1" applyBorder="1" applyAlignment="1">
      <alignment vertical="center"/>
    </xf>
    <xf numFmtId="176" fontId="12" fillId="7" borderId="6" xfId="8" applyNumberFormat="1" applyFont="1" applyFill="1" applyBorder="1" applyAlignment="1">
      <alignment vertical="center"/>
    </xf>
    <xf numFmtId="0" fontId="7" fillId="5" borderId="6" xfId="5" applyFont="1" applyFill="1" applyBorder="1" applyAlignment="1">
      <alignment vertical="center"/>
    </xf>
    <xf numFmtId="0" fontId="7" fillId="6" borderId="6" xfId="5" applyFont="1" applyFill="1" applyBorder="1" applyAlignment="1">
      <alignment vertical="center"/>
    </xf>
    <xf numFmtId="38" fontId="7" fillId="5" borderId="0" xfId="20" applyFont="1" applyFill="1" applyBorder="1" applyAlignment="1">
      <alignment vertical="center"/>
    </xf>
    <xf numFmtId="180" fontId="8" fillId="0" borderId="0" xfId="12" applyNumberFormat="1" applyFont="1" applyAlignment="1">
      <alignment vertical="center"/>
    </xf>
    <xf numFmtId="0" fontId="1" fillId="0" borderId="0" xfId="19">
      <alignment vertical="center"/>
    </xf>
    <xf numFmtId="0" fontId="14" fillId="2" borderId="10" xfId="11" applyFont="1" applyFill="1" applyBorder="1" applyAlignment="1">
      <alignment horizontal="center"/>
    </xf>
    <xf numFmtId="0" fontId="14" fillId="0" borderId="11" xfId="11" applyFont="1" applyFill="1" applyBorder="1" applyAlignment="1">
      <alignment wrapText="1"/>
    </xf>
    <xf numFmtId="0" fontId="14" fillId="0" borderId="11" xfId="11" applyFont="1" applyFill="1" applyBorder="1" applyAlignment="1">
      <alignment horizontal="right" wrapText="1"/>
    </xf>
    <xf numFmtId="0" fontId="8" fillId="0" borderId="7" xfId="12" applyFont="1" applyBorder="1" applyAlignment="1">
      <alignment horizontal="left" vertical="top" wrapText="1"/>
    </xf>
    <xf numFmtId="0" fontId="8" fillId="0" borderId="8" xfId="12" applyFont="1" applyBorder="1" applyAlignment="1">
      <alignment horizontal="left" vertical="top" wrapText="1"/>
    </xf>
    <xf numFmtId="0" fontId="8" fillId="0" borderId="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left" vertical="top" wrapText="1"/>
    </xf>
    <xf numFmtId="0" fontId="8" fillId="0" borderId="0" xfId="12" applyFont="1" applyBorder="1" applyAlignment="1">
      <alignment horizontal="left" vertical="top" wrapText="1"/>
    </xf>
    <xf numFmtId="0" fontId="8" fillId="0" borderId="2" xfId="12" applyFont="1" applyBorder="1" applyAlignment="1">
      <alignment horizontal="left" vertical="top" wrapText="1"/>
    </xf>
    <xf numFmtId="0" fontId="8" fillId="0" borderId="3" xfId="12" applyFont="1" applyBorder="1" applyAlignment="1">
      <alignment horizontal="left" vertical="top" wrapText="1"/>
    </xf>
    <xf numFmtId="0" fontId="8" fillId="0" borderId="4" xfId="12" applyFont="1" applyBorder="1" applyAlignment="1">
      <alignment horizontal="left" vertical="top" wrapText="1"/>
    </xf>
    <xf numFmtId="0" fontId="8" fillId="0" borderId="5" xfId="12" applyFont="1" applyBorder="1" applyAlignment="1">
      <alignment horizontal="left" vertical="top" wrapText="1"/>
    </xf>
  </cellXfs>
  <cellStyles count="21">
    <cellStyle name="パーセント 2" xfId="8"/>
    <cellStyle name="パーセント 3" xfId="14"/>
    <cellStyle name="ハイパーリンク 2" xfId="2"/>
    <cellStyle name="桁区切り 2" xfId="7"/>
    <cellStyle name="桁区切り 2 3" xfId="13"/>
    <cellStyle name="桁区切り 2 3 2" xfId="18"/>
    <cellStyle name="桁区切り 2 3 3" xfId="20"/>
    <cellStyle name="桁区切り 3" xfId="9"/>
    <cellStyle name="標準" xfId="0" builtinId="0"/>
    <cellStyle name="標準 2" xfId="1"/>
    <cellStyle name="標準 2 2" xfId="4"/>
    <cellStyle name="標準 2 2 2" xfId="15"/>
    <cellStyle name="標準 2 2 3" xfId="12"/>
    <cellStyle name="標準 3" xfId="3"/>
    <cellStyle name="標準 3 2" xfId="17"/>
    <cellStyle name="標準 3 3" xfId="19"/>
    <cellStyle name="標準 4" xfId="16"/>
    <cellStyle name="標準_10_出願先国別_出願人国籍別中分類推移" xfId="10"/>
    <cellStyle name="標準_国籍別ファミリー件数推移・比率" xfId="11"/>
    <cellStyle name="標準_出願人国籍用 (2)" xfId="5"/>
    <cellStyle name="標準_図1-2-3" xfId="6"/>
  </cellStyles>
  <dxfs count="0"/>
  <tableStyles count="0" defaultTableStyle="TableStyleMedium2" defaultPivotStyle="PivotStyleLight16"/>
  <colors>
    <mruColors>
      <color rgb="FFE85298"/>
      <color rgb="FFB8B6C1"/>
      <color rgb="FFCF8651"/>
      <color rgb="FFFABE00"/>
      <color rgb="FFE60012"/>
      <color rgb="FF90B821"/>
      <color rgb="FF005BAC"/>
      <color rgb="FFEE87B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05579000874106E-2"/>
          <c:y val="0.13528279035813276"/>
          <c:w val="0.84979162830763444"/>
          <c:h val="0.729187754591600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'1-5-50'!$AB$3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EE87B4"/>
            </a:solidFill>
            <a:ln w="9525">
              <a:noFill/>
              <a:prstDash val="solid"/>
            </a:ln>
          </c:spPr>
          <c:invertIfNegative val="0"/>
          <c:cat>
            <c:numRef>
              <c:f>'1-5-50'!$E$2:$X$2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'1-5-50'!$E$3:$X$3</c:f>
              <c:numCache>
                <c:formatCode>General</c:formatCode>
                <c:ptCount val="20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6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2-4D5D-A650-C77BA972F211}"/>
            </c:ext>
          </c:extLst>
        </c:ser>
        <c:ser>
          <c:idx val="1"/>
          <c:order val="1"/>
          <c:tx>
            <c:strRef>
              <c:f>'1-5-50'!$AB$4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5BAC"/>
            </a:solidFill>
            <a:ln w="9525">
              <a:noFill/>
              <a:prstDash val="solid"/>
            </a:ln>
          </c:spPr>
          <c:invertIfNegative val="0"/>
          <c:cat>
            <c:numRef>
              <c:f>'1-5-50'!$E$2:$X$2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'1-5-50'!$E$4:$X$4</c:f>
              <c:numCache>
                <c:formatCode>General</c:formatCode>
                <c:ptCount val="20"/>
                <c:pt idx="0">
                  <c:v>17</c:v>
                </c:pt>
                <c:pt idx="1">
                  <c:v>14</c:v>
                </c:pt>
                <c:pt idx="2">
                  <c:v>23</c:v>
                </c:pt>
                <c:pt idx="3">
                  <c:v>32</c:v>
                </c:pt>
                <c:pt idx="4">
                  <c:v>31</c:v>
                </c:pt>
                <c:pt idx="5">
                  <c:v>36</c:v>
                </c:pt>
                <c:pt idx="6">
                  <c:v>31</c:v>
                </c:pt>
                <c:pt idx="7">
                  <c:v>32</c:v>
                </c:pt>
                <c:pt idx="8">
                  <c:v>32</c:v>
                </c:pt>
                <c:pt idx="9">
                  <c:v>38</c:v>
                </c:pt>
                <c:pt idx="10">
                  <c:v>21</c:v>
                </c:pt>
                <c:pt idx="11">
                  <c:v>23</c:v>
                </c:pt>
                <c:pt idx="12">
                  <c:v>18</c:v>
                </c:pt>
                <c:pt idx="13">
                  <c:v>11</c:v>
                </c:pt>
                <c:pt idx="14">
                  <c:v>25</c:v>
                </c:pt>
                <c:pt idx="15">
                  <c:v>20</c:v>
                </c:pt>
                <c:pt idx="16">
                  <c:v>30</c:v>
                </c:pt>
                <c:pt idx="17">
                  <c:v>21</c:v>
                </c:pt>
                <c:pt idx="18">
                  <c:v>28</c:v>
                </c:pt>
                <c:pt idx="1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2-4D5D-A650-C77BA972F211}"/>
            </c:ext>
          </c:extLst>
        </c:ser>
        <c:ser>
          <c:idx val="2"/>
          <c:order val="2"/>
          <c:tx>
            <c:strRef>
              <c:f>'1-5-50'!$AB$5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90B821"/>
            </a:solidFill>
            <a:ln w="12700">
              <a:noFill/>
              <a:prstDash val="solid"/>
            </a:ln>
          </c:spPr>
          <c:invertIfNegative val="0"/>
          <c:cat>
            <c:numRef>
              <c:f>'1-5-50'!$E$2:$X$2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'1-5-50'!$E$5:$X$5</c:f>
              <c:numCache>
                <c:formatCode>General</c:formatCode>
                <c:ptCount val="20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17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37</c:v>
                </c:pt>
                <c:pt idx="12">
                  <c:v>29</c:v>
                </c:pt>
                <c:pt idx="13">
                  <c:v>59</c:v>
                </c:pt>
                <c:pt idx="14">
                  <c:v>51</c:v>
                </c:pt>
                <c:pt idx="15">
                  <c:v>40</c:v>
                </c:pt>
                <c:pt idx="16">
                  <c:v>48</c:v>
                </c:pt>
                <c:pt idx="17">
                  <c:v>51</c:v>
                </c:pt>
                <c:pt idx="18">
                  <c:v>40</c:v>
                </c:pt>
                <c:pt idx="1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B2-4D5D-A650-C77BA972F211}"/>
            </c:ext>
          </c:extLst>
        </c:ser>
        <c:ser>
          <c:idx val="3"/>
          <c:order val="3"/>
          <c:tx>
            <c:strRef>
              <c:f>'1-5-50'!$AB$6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 w="9525">
              <a:noFill/>
              <a:prstDash val="solid"/>
            </a:ln>
          </c:spPr>
          <c:invertIfNegative val="0"/>
          <c:cat>
            <c:numRef>
              <c:f>'1-5-50'!$E$2:$X$2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'1-5-50'!$E$6:$X$6</c:f>
              <c:numCache>
                <c:formatCode>General</c:formatCode>
                <c:ptCount val="20"/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7</c:v>
                </c:pt>
                <c:pt idx="10">
                  <c:v>11</c:v>
                </c:pt>
                <c:pt idx="11">
                  <c:v>15</c:v>
                </c:pt>
                <c:pt idx="12">
                  <c:v>16</c:v>
                </c:pt>
                <c:pt idx="13">
                  <c:v>21</c:v>
                </c:pt>
                <c:pt idx="14">
                  <c:v>20</c:v>
                </c:pt>
                <c:pt idx="15">
                  <c:v>18</c:v>
                </c:pt>
                <c:pt idx="16">
                  <c:v>14</c:v>
                </c:pt>
                <c:pt idx="17">
                  <c:v>24</c:v>
                </c:pt>
                <c:pt idx="18">
                  <c:v>14</c:v>
                </c:pt>
                <c:pt idx="1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B2-4D5D-A650-C77BA972F211}"/>
            </c:ext>
          </c:extLst>
        </c:ser>
        <c:ser>
          <c:idx val="4"/>
          <c:order val="4"/>
          <c:tx>
            <c:strRef>
              <c:f>'1-5-50'!$AB$7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ABE00"/>
            </a:solidFill>
            <a:ln w="9525">
              <a:noFill/>
              <a:prstDash val="solid"/>
            </a:ln>
          </c:spPr>
          <c:invertIfNegative val="0"/>
          <c:cat>
            <c:numRef>
              <c:f>'1-5-50'!$E$2:$X$2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'1-5-50'!$E$7:$X$7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9</c:v>
                </c:pt>
                <c:pt idx="6">
                  <c:v>9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26</c:v>
                </c:pt>
                <c:pt idx="11">
                  <c:v>14</c:v>
                </c:pt>
                <c:pt idx="12">
                  <c:v>12</c:v>
                </c:pt>
                <c:pt idx="13">
                  <c:v>18</c:v>
                </c:pt>
                <c:pt idx="14">
                  <c:v>9</c:v>
                </c:pt>
                <c:pt idx="15">
                  <c:v>10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B2-4D5D-A650-C77BA972F211}"/>
            </c:ext>
          </c:extLst>
        </c:ser>
        <c:ser>
          <c:idx val="7"/>
          <c:order val="5"/>
          <c:tx>
            <c:strRef>
              <c:f>'1-5-50'!$AB$8</c:f>
              <c:strCache>
                <c:ptCount val="1"/>
                <c:pt idx="0">
                  <c:v>台湾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cat>
            <c:numRef>
              <c:f>'1-5-50'!$E$2:$X$2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'1-5-50'!$E$8:$X$8</c:f>
              <c:numCache>
                <c:formatCode>General</c:formatCode>
                <c:ptCount val="20"/>
                <c:pt idx="0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15</c:v>
                </c:pt>
                <c:pt idx="10">
                  <c:v>14</c:v>
                </c:pt>
                <c:pt idx="11">
                  <c:v>11</c:v>
                </c:pt>
                <c:pt idx="12">
                  <c:v>23</c:v>
                </c:pt>
                <c:pt idx="13">
                  <c:v>10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B2-4D5D-A650-C77BA972F211}"/>
            </c:ext>
          </c:extLst>
        </c:ser>
        <c:ser>
          <c:idx val="5"/>
          <c:order val="6"/>
          <c:tx>
            <c:strRef>
              <c:f>'1-5-50'!$AB$9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8B6C1"/>
            </a:solidFill>
            <a:ln>
              <a:noFill/>
            </a:ln>
          </c:spPr>
          <c:invertIfNegative val="0"/>
          <c:cat>
            <c:numRef>
              <c:f>'1-5-50'!$E$2:$X$2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'1-5-50'!$E$9:$X$9</c:f>
              <c:numCache>
                <c:formatCode>General</c:formatCode>
                <c:ptCount val="20"/>
                <c:pt idx="0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4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20</c:v>
                </c:pt>
                <c:pt idx="18">
                  <c:v>13</c:v>
                </c:pt>
                <c:pt idx="1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B2-4D5D-A650-C77BA972F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351360"/>
        <c:axId val="394353280"/>
      </c:barChart>
      <c:lineChart>
        <c:grouping val="standard"/>
        <c:varyColors val="0"/>
        <c:ser>
          <c:idx val="6"/>
          <c:order val="7"/>
          <c:tx>
            <c:strRef>
              <c:f>'1-5-50'!$AB$10</c:f>
              <c:strCache>
                <c:ptCount val="1"/>
                <c:pt idx="0">
                  <c:v>合計</c:v>
                </c:pt>
              </c:strCache>
            </c:strRef>
          </c:tx>
          <c:spPr>
            <a:ln w="19050">
              <a:solidFill>
                <a:srgbClr val="E85298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rgbClr val="E85298"/>
                </a:solidFill>
                <a:prstDash val="solid"/>
              </a:ln>
            </c:spPr>
          </c:marker>
          <c:dPt>
            <c:idx val="18"/>
            <c:bubble3D val="0"/>
            <c:spPr>
              <a:ln w="19050">
                <a:solidFill>
                  <a:srgbClr val="E852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DB2-4D5D-A650-C77BA972F211}"/>
              </c:ext>
            </c:extLst>
          </c:dPt>
          <c:dPt>
            <c:idx val="19"/>
            <c:bubble3D val="0"/>
            <c:spPr>
              <a:ln w="19050">
                <a:solidFill>
                  <a:srgbClr val="E852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DB2-4D5D-A650-C77BA972F211}"/>
              </c:ext>
            </c:extLst>
          </c:dPt>
          <c:dLbls>
            <c:dLbl>
              <c:idx val="0"/>
              <c:layout>
                <c:manualLayout>
                  <c:x val="-3.3333333333333333E-2"/>
                  <c:y val="-4.6938775510204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DB2-4D5D-A650-C77BA972F211}"/>
                </c:ext>
              </c:extLst>
            </c:dLbl>
            <c:dLbl>
              <c:idx val="1"/>
              <c:layout>
                <c:manualLayout>
                  <c:x val="-3.3333333333333333E-2"/>
                  <c:y val="-4.6938775510204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DB2-4D5D-A650-C77BA972F211}"/>
                </c:ext>
              </c:extLst>
            </c:dLbl>
            <c:dLbl>
              <c:idx val="13"/>
              <c:layout>
                <c:manualLayout>
                  <c:x val="-2.4137931034482758E-2"/>
                  <c:y val="-3.4693877551020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DB2-4D5D-A650-C77BA972F211}"/>
                </c:ext>
              </c:extLst>
            </c:dLbl>
            <c:dLbl>
              <c:idx val="14"/>
              <c:layout>
                <c:manualLayout>
                  <c:x val="-2.0689655172413793E-2"/>
                  <c:y val="-3.0612244897959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DB2-4D5D-A650-C77BA972F211}"/>
                </c:ext>
              </c:extLst>
            </c:dLbl>
            <c:dLbl>
              <c:idx val="18"/>
              <c:layout>
                <c:manualLayout>
                  <c:x val="-2.5040395285713144E-2"/>
                  <c:y val="-6.1609965726137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DB2-4D5D-A650-C77BA972F211}"/>
                </c:ext>
              </c:extLst>
            </c:dLbl>
            <c:dLbl>
              <c:idx val="19"/>
              <c:layout>
                <c:manualLayout>
                  <c:x val="-2.0689655172413793E-2"/>
                  <c:y val="-3.4693877551020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DB2-4D5D-A650-C77BA972F2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1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</c:numLit>
          </c:cat>
          <c:val>
            <c:numRef>
              <c:f>'1-5-50'!$E$10:$X$10</c:f>
              <c:numCache>
                <c:formatCode>#,##0_);[Red]\(#,##0\)</c:formatCode>
                <c:ptCount val="20"/>
                <c:pt idx="0">
                  <c:v>31</c:v>
                </c:pt>
                <c:pt idx="1">
                  <c:v>28</c:v>
                </c:pt>
                <c:pt idx="2">
                  <c:v>43</c:v>
                </c:pt>
                <c:pt idx="3">
                  <c:v>56</c:v>
                </c:pt>
                <c:pt idx="4">
                  <c:v>71</c:v>
                </c:pt>
                <c:pt idx="5">
                  <c:v>83</c:v>
                </c:pt>
                <c:pt idx="6">
                  <c:v>92</c:v>
                </c:pt>
                <c:pt idx="7">
                  <c:v>98</c:v>
                </c:pt>
                <c:pt idx="8">
                  <c:v>118</c:v>
                </c:pt>
                <c:pt idx="9">
                  <c:v>132</c:v>
                </c:pt>
                <c:pt idx="10">
                  <c:v>116</c:v>
                </c:pt>
                <c:pt idx="11">
                  <c:v>116</c:v>
                </c:pt>
                <c:pt idx="12">
                  <c:v>106</c:v>
                </c:pt>
                <c:pt idx="13">
                  <c:v>131</c:v>
                </c:pt>
                <c:pt idx="14">
                  <c:v>124</c:v>
                </c:pt>
                <c:pt idx="15">
                  <c:v>104</c:v>
                </c:pt>
                <c:pt idx="16">
                  <c:v>116</c:v>
                </c:pt>
                <c:pt idx="17">
                  <c:v>133</c:v>
                </c:pt>
                <c:pt idx="18">
                  <c:v>114</c:v>
                </c:pt>
                <c:pt idx="19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DB2-4D5D-A650-C77BA972F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369664"/>
        <c:axId val="394367744"/>
      </c:lineChart>
      <c:catAx>
        <c:axId val="394351360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altLang="en-US" sz="1000"/>
                </a:pPr>
                <a:r>
                  <a:rPr lang="ja-JP" altLang="en-US"/>
                  <a:t>論文発表年</a:t>
                </a:r>
              </a:p>
            </c:rich>
          </c:tx>
          <c:layout>
            <c:manualLayout>
              <c:xMode val="edge"/>
              <c:yMode val="edge"/>
              <c:x val="0.47766121318834809"/>
              <c:y val="0.9240544957160009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394353280"/>
        <c:crosses val="autoZero"/>
        <c:auto val="1"/>
        <c:lblAlgn val="ctr"/>
        <c:lblOffset val="100"/>
        <c:noMultiLvlLbl val="0"/>
      </c:catAx>
      <c:valAx>
        <c:axId val="39435328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altLang="en-US" sz="1000"/>
                </a:pPr>
                <a:r>
                  <a:rPr lang="ja-JP" altLang="en-US"/>
                  <a:t>論文件数</a:t>
                </a:r>
              </a:p>
            </c:rich>
          </c:tx>
          <c:layout>
            <c:manualLayout>
              <c:xMode val="edge"/>
              <c:yMode val="edge"/>
              <c:x val="9.5973315481943152E-3"/>
              <c:y val="0.26991870501067305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394351360"/>
        <c:crosses val="autoZero"/>
        <c:crossBetween val="between"/>
        <c:majorUnit val="20"/>
      </c:valAx>
      <c:valAx>
        <c:axId val="394367744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altLang="en-US" sz="1000"/>
                </a:pPr>
                <a:r>
                  <a:rPr lang="ja-JP" altLang="en-US"/>
                  <a:t>合計</a:t>
                </a:r>
              </a:p>
            </c:rich>
          </c:tx>
          <c:layout>
            <c:manualLayout>
              <c:xMode val="edge"/>
              <c:yMode val="edge"/>
              <c:x val="0.96601941147705217"/>
              <c:y val="0.31815455685635063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394369664"/>
        <c:crosses val="max"/>
        <c:crossBetween val="between"/>
        <c:majorUnit val="50"/>
      </c:valAx>
      <c:catAx>
        <c:axId val="39436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4367744"/>
        <c:crosses val="autoZero"/>
        <c:auto val="1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6299535793913597E-2"/>
          <c:y val="5.5963999705930523E-2"/>
          <c:w val="0.89655172413793105"/>
          <c:h val="5.7142857142857141E-2"/>
        </c:manualLayout>
      </c:layout>
      <c:overlay val="0"/>
      <c:spPr>
        <a:ln>
          <a:noFill/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3921568627451"/>
          <c:y val="0.29803921568627451"/>
          <c:w val="0.40392156862745099"/>
          <c:h val="0.40392156862745099"/>
        </c:manualLayout>
      </c:layout>
      <c:pieChart>
        <c:varyColors val="1"/>
        <c:ser>
          <c:idx val="0"/>
          <c:order val="0"/>
          <c:spPr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E85298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B2-4E74-9AF7-D12097CE575D}"/>
              </c:ext>
            </c:extLst>
          </c:dPt>
          <c:dPt>
            <c:idx val="1"/>
            <c:bubble3D val="0"/>
            <c:spPr>
              <a:solidFill>
                <a:srgbClr val="005BAC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B2-4E74-9AF7-D12097CE575D}"/>
              </c:ext>
            </c:extLst>
          </c:dPt>
          <c:dPt>
            <c:idx val="2"/>
            <c:bubble3D val="0"/>
            <c:spPr>
              <a:solidFill>
                <a:srgbClr val="90B821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B2-4E74-9AF7-D12097CE575D}"/>
              </c:ext>
            </c:extLst>
          </c:dPt>
          <c:dPt>
            <c:idx val="3"/>
            <c:bubble3D val="0"/>
            <c:spPr>
              <a:solidFill>
                <a:srgbClr val="E60012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B2-4E74-9AF7-D12097CE575D}"/>
              </c:ext>
            </c:extLst>
          </c:dPt>
          <c:dPt>
            <c:idx val="4"/>
            <c:bubble3D val="0"/>
            <c:spPr>
              <a:solidFill>
                <a:srgbClr val="FABE00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B2-4E74-9AF7-D12097CE575D}"/>
              </c:ext>
            </c:extLst>
          </c:dPt>
          <c:dPt>
            <c:idx val="5"/>
            <c:bubble3D val="0"/>
            <c:spPr>
              <a:solidFill>
                <a:srgbClr val="CF8651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3B2-4E74-9AF7-D12097CE575D}"/>
              </c:ext>
            </c:extLst>
          </c:dPt>
          <c:dPt>
            <c:idx val="6"/>
            <c:bubble3D val="0"/>
            <c:spPr>
              <a:solidFill>
                <a:srgbClr val="B8B6C1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3B2-4E74-9AF7-D12097CE575D}"/>
              </c:ext>
            </c:extLst>
          </c:dPt>
          <c:dLbls>
            <c:dLbl>
              <c:idx val="0"/>
              <c:layout>
                <c:manualLayout>
                  <c:x val="3.2716072255673925E-2"/>
                  <c:y val="-6.0233132623128002E-2"/>
                </c:manualLayout>
              </c:layout>
              <c:tx>
                <c:strRef>
                  <c:f>'1-5-50'!$AA$3</c:f>
                  <c:strCache>
                    <c:ptCount val="1"/>
                    <c:pt idx="0">
                      <c:v>日本国籍
125件
6.4%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{34A75945-8FA2-42EE-B1E6-DBB82FAD8D00}</c15:txfldGUID>
                      <c15:f>'1-5-50'!$AA$3</c15:f>
                      <c15:dlblFieldTableCache>
                        <c:ptCount val="1"/>
                        <c:pt idx="0">
                          <c:v>日本国籍
125件
6.4%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3B2-4E74-9AF7-D12097CE575D}"/>
                </c:ext>
              </c:extLst>
            </c:dLbl>
            <c:dLbl>
              <c:idx val="1"/>
              <c:layout>
                <c:manualLayout>
                  <c:x val="-0.1871664633739312"/>
                  <c:y val="7.5001387772388878E-2"/>
                </c:manualLayout>
              </c:layout>
              <c:tx>
                <c:strRef>
                  <c:f>'1-5-50'!$AA$4</c:f>
                  <c:strCache>
                    <c:ptCount val="1"/>
                    <c:pt idx="0">
                      <c:v>米国籍
506件
25.9%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43137254901961"/>
                      <c:h val="0.21941176470588231"/>
                    </c:manualLayout>
                  </c15:layout>
                  <c15:dlblFieldTable>
                    <c15:dlblFTEntry>
                      <c15:txfldGUID>{9B5E08F7-CF48-4A2E-9D14-962BD4C6692B}</c15:txfldGUID>
                      <c15:f>'1-5-50'!$AA$4</c15:f>
                      <c15:dlblFieldTableCache>
                        <c:ptCount val="1"/>
                        <c:pt idx="0">
                          <c:v>米国籍
506件
25.9%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3B2-4E74-9AF7-D12097CE575D}"/>
                </c:ext>
              </c:extLst>
            </c:dLbl>
            <c:dLbl>
              <c:idx val="2"/>
              <c:layout>
                <c:manualLayout>
                  <c:x val="-3.1499754228185475E-2"/>
                  <c:y val="-0.17241155484256207"/>
                </c:manualLayout>
              </c:layout>
              <c:tx>
                <c:strRef>
                  <c:f>'1-5-50'!$AA$5</c:f>
                  <c:strCache>
                    <c:ptCount val="1"/>
                    <c:pt idx="0">
                      <c:v>欧州国籍
642件
32.8%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{2F06882E-35C6-4BFF-ABD2-7B415151FAF4}</c15:txfldGUID>
                      <c15:f>'1-5-50'!$AA$5</c15:f>
                      <c15:dlblFieldTableCache>
                        <c:ptCount val="1"/>
                        <c:pt idx="0">
                          <c:v>欧州国籍
642件
32.8%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53B2-4E74-9AF7-D12097CE575D}"/>
                </c:ext>
              </c:extLst>
            </c:dLbl>
            <c:dLbl>
              <c:idx val="3"/>
              <c:layout>
                <c:manualLayout>
                  <c:x val="-9.9286398023776437E-2"/>
                  <c:y val="5.0798517832329713E-2"/>
                </c:manualLayout>
              </c:layout>
              <c:tx>
                <c:strRef>
                  <c:f>'1-5-50'!$AA$6</c:f>
                  <c:strCache>
                    <c:ptCount val="1"/>
                    <c:pt idx="0">
                      <c:v>中国籍
203件
10.4%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{6535ED1C-ED57-4EF6-93C6-A535E42A6A84}</c15:txfldGUID>
                      <c15:f>'1-5-50'!$AA$6</c15:f>
                      <c15:dlblFieldTableCache>
                        <c:ptCount val="1"/>
                        <c:pt idx="0">
                          <c:v>中国籍
203件
10.4%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53B2-4E74-9AF7-D12097CE575D}"/>
                </c:ext>
              </c:extLst>
            </c:dLbl>
            <c:dLbl>
              <c:idx val="4"/>
              <c:layout>
                <c:manualLayout>
                  <c:x val="-8.6780299521383358E-2"/>
                  <c:y val="-4.4361895939478153E-2"/>
                </c:manualLayout>
              </c:layout>
              <c:tx>
                <c:strRef>
                  <c:f>'1-5-50'!$AA$7</c:f>
                  <c:strCache>
                    <c:ptCount val="1"/>
                    <c:pt idx="0">
                      <c:v>韓国籍
201件
10.3%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{BE5805CC-DB21-43FB-B651-5B3C87E0ED6E}</c15:txfldGUID>
                      <c15:f>'1-5-50'!$AA$7</c15:f>
                      <c15:dlblFieldTableCache>
                        <c:ptCount val="1"/>
                        <c:pt idx="0">
                          <c:v>韓国籍
201件
10.3%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53B2-4E74-9AF7-D12097CE575D}"/>
                </c:ext>
              </c:extLst>
            </c:dLbl>
            <c:dLbl>
              <c:idx val="5"/>
              <c:layout>
                <c:manualLayout>
                  <c:x val="-4.0985641500694801E-2"/>
                  <c:y val="-7.5229581596418099E-2"/>
                </c:manualLayout>
              </c:layout>
              <c:tx>
                <c:strRef>
                  <c:f>'1-5-50'!$AA$8</c:f>
                  <c:strCache>
                    <c:ptCount val="1"/>
                    <c:pt idx="0">
                      <c:v>台湾籍
139件
7.1%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{37AC0665-09FA-4815-8794-B0F9A6E4568A}</c15:txfldGUID>
                      <c15:f>'1-5-50'!$AA$8</c15:f>
                      <c15:dlblFieldTableCache>
                        <c:ptCount val="1"/>
                        <c:pt idx="0">
                          <c:v>台湾籍
139件
7.1%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53B2-4E74-9AF7-D12097CE575D}"/>
                </c:ext>
              </c:extLst>
            </c:dLbl>
            <c:dLbl>
              <c:idx val="6"/>
              <c:layout>
                <c:manualLayout>
                  <c:x val="4.0058360352014821E-2"/>
                  <c:y val="-9.9644897329010343E-2"/>
                </c:manualLayout>
              </c:layout>
              <c:tx>
                <c:strRef>
                  <c:f>'1-5-50'!$AA$9</c:f>
                  <c:strCache>
                    <c:ptCount val="1"/>
                    <c:pt idx="0">
                      <c:v>その他
140件
7.2%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{0C987B8A-5422-4C9F-95A4-5B0F221A11F9}</c15:txfldGUID>
                      <c15:f>'1-5-50'!$AA$9</c15:f>
                      <c15:dlblFieldTableCache>
                        <c:ptCount val="1"/>
                        <c:pt idx="0">
                          <c:v>その他
140件
7.2%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53B2-4E74-9AF7-D12097CE575D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27084057420616"/>
                  <c:y val="7.99136911886760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B2-4E74-9AF7-D12097CE575D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40451457471139646"/>
                  <c:y val="4.319658983171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B2-4E74-9AF7-D12097CE575D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1041753203927276"/>
                  <c:y val="0.140388916953079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B2-4E74-9AF7-D12097CE575D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1909810231204956"/>
                  <c:y val="0.196544483734311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B2-4E74-9AF7-D12097CE575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'1-5-50'!$Y$3:$Y$9</c:f>
              <c:numCache>
                <c:formatCode>#,##0_);[Red]\(#,##0\)</c:formatCode>
                <c:ptCount val="7"/>
                <c:pt idx="0">
                  <c:v>125</c:v>
                </c:pt>
                <c:pt idx="1">
                  <c:v>506</c:v>
                </c:pt>
                <c:pt idx="2">
                  <c:v>642</c:v>
                </c:pt>
                <c:pt idx="3">
                  <c:v>203</c:v>
                </c:pt>
                <c:pt idx="4">
                  <c:v>201</c:v>
                </c:pt>
                <c:pt idx="5">
                  <c:v>139</c:v>
                </c:pt>
                <c:pt idx="6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B2-4E74-9AF7-D12097CE5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94192</xdr:colOff>
      <xdr:row>14</xdr:row>
      <xdr:rowOff>47936</xdr:rowOff>
    </xdr:from>
    <xdr:to>
      <xdr:col>26</xdr:col>
      <xdr:colOff>1513977</xdr:colOff>
      <xdr:row>36</xdr:row>
      <xdr:rowOff>84668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486398" y="2401171"/>
          <a:ext cx="12317505" cy="3734673"/>
          <a:chOff x="497604" y="2400891"/>
          <a:chExt cx="12144783" cy="3734952"/>
        </a:xfrm>
      </xdr:grpSpPr>
      <xdr:graphicFrame macro="">
        <xdr:nvGraphicFramePr>
          <xdr:cNvPr id="2" name="グラフ 5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497604" y="2448485"/>
          <a:ext cx="8757207" cy="3687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aphicFramePr>
            <a:graphicFrameLocks/>
          </xdr:cNvGraphicFramePr>
        </xdr:nvGraphicFramePr>
        <xdr:xfrm>
          <a:off x="9403887" y="2400891"/>
          <a:ext cx="3238500" cy="3238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0.08919</cdr:x>
      <cdr:y>0</cdr:y>
    </cdr:from>
    <cdr:to>
      <cdr:x>0.25338</cdr:x>
      <cdr:y>0.06029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837" y="0"/>
          <a:ext cx="1463259" cy="233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研究者所属機関国籍（地域）</a:t>
          </a:r>
        </a:p>
      </cdr:txBody>
    </cdr:sp>
  </cdr:relSizeAnchor>
  <cdr:relSizeAnchor xmlns:cdr="http://schemas.openxmlformats.org/drawingml/2006/chartDrawing">
    <cdr:from>
      <cdr:x>0.09772</cdr:x>
      <cdr:y>0.16952</cdr:y>
    </cdr:from>
    <cdr:to>
      <cdr:x>0.23652</cdr:x>
      <cdr:y>0.29019</cdr:y>
    </cdr:to>
    <cdr:sp macro="" textlink="'1-5-50'!$E$1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0842" y="657172"/>
          <a:ext cx="1236984" cy="4677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7C5008EB-D47F-4915-A652-3B0443F029AA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論文発表
1999－2018年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0.68235</cdr:x>
      <cdr:y>0.83922</cdr:y>
    </cdr:from>
    <cdr:to>
      <cdr:x>0.87843</cdr:x>
      <cdr:y>0.95686</cdr:y>
    </cdr:to>
    <cdr:sp macro="" textlink="'1-5-50'!$AA$10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209790" y="2717814"/>
          <a:ext cx="635006" cy="380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910DC578-3C51-436C-A52C-A6DEC94C4BA2}" type="TxLink"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1,956件</a:t>
          </a:fld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0"/>
  <sheetViews>
    <sheetView showGridLines="0" tabSelected="1" zoomScale="68" zoomScaleNormal="68" workbookViewId="0">
      <selection activeCell="AC32" sqref="AC32"/>
    </sheetView>
  </sheetViews>
  <sheetFormatPr defaultColWidth="5.625" defaultRowHeight="13.5" customHeight="1" x14ac:dyDescent="0.15"/>
  <cols>
    <col min="1" max="3" width="2.625" style="6" customWidth="1"/>
    <col min="4" max="4" width="12.625" style="6" customWidth="1"/>
    <col min="5" max="25" width="5.625" style="6" customWidth="1"/>
    <col min="26" max="26" width="8.125" style="6" customWidth="1"/>
    <col min="27" max="27" width="20.625" style="6" customWidth="1"/>
    <col min="28" max="29" width="15.625" style="6" customWidth="1"/>
    <col min="30" max="30" width="8.625" style="6" customWidth="1"/>
    <col min="31" max="31" width="10.625" style="6" customWidth="1"/>
    <col min="32" max="33" width="5.625" style="6"/>
    <col min="34" max="34" width="5.625" style="6" customWidth="1"/>
    <col min="35" max="41" width="5.625" style="6"/>
    <col min="42" max="42" width="5.625" style="6" customWidth="1"/>
    <col min="43" max="16384" width="5.625" style="6"/>
  </cols>
  <sheetData>
    <row r="1" spans="1:49" ht="13.5" customHeight="1" x14ac:dyDescent="0.15">
      <c r="A1" s="1"/>
      <c r="B1" s="1"/>
      <c r="C1" s="1"/>
      <c r="D1" s="7"/>
      <c r="E1" s="8" t="s">
        <v>54</v>
      </c>
      <c r="AH1" s="9"/>
      <c r="AP1" s="9"/>
    </row>
    <row r="2" spans="1:49" ht="13.5" customHeight="1" x14ac:dyDescent="0.15">
      <c r="A2" s="1"/>
      <c r="D2" s="10" t="s">
        <v>2</v>
      </c>
      <c r="E2" s="11">
        <v>1999</v>
      </c>
      <c r="F2" s="11">
        <v>2000</v>
      </c>
      <c r="G2" s="11">
        <v>2001</v>
      </c>
      <c r="H2" s="11">
        <v>2002</v>
      </c>
      <c r="I2" s="11">
        <v>2003</v>
      </c>
      <c r="J2" s="11">
        <v>2004</v>
      </c>
      <c r="K2" s="11">
        <v>2005</v>
      </c>
      <c r="L2" s="11">
        <v>2006</v>
      </c>
      <c r="M2" s="11">
        <v>2007</v>
      </c>
      <c r="N2" s="11">
        <v>2008</v>
      </c>
      <c r="O2" s="11">
        <v>2009</v>
      </c>
      <c r="P2" s="11">
        <v>2010</v>
      </c>
      <c r="Q2" s="11">
        <v>2011</v>
      </c>
      <c r="R2" s="11">
        <v>2012</v>
      </c>
      <c r="S2" s="11">
        <v>2013</v>
      </c>
      <c r="T2" s="11">
        <v>2014</v>
      </c>
      <c r="U2" s="11">
        <v>2015</v>
      </c>
      <c r="V2" s="11">
        <v>2016</v>
      </c>
      <c r="W2" s="11">
        <v>2017</v>
      </c>
      <c r="X2" s="11">
        <v>2018</v>
      </c>
      <c r="Y2" s="10" t="s">
        <v>3</v>
      </c>
      <c r="Z2" s="12" t="s">
        <v>4</v>
      </c>
      <c r="AA2" s="10" t="s">
        <v>5</v>
      </c>
      <c r="AB2" s="10" t="s">
        <v>6</v>
      </c>
      <c r="AC2" s="10" t="s">
        <v>2</v>
      </c>
      <c r="AD2" s="2" t="s">
        <v>7</v>
      </c>
      <c r="AE2" s="6" t="s">
        <v>8</v>
      </c>
    </row>
    <row r="3" spans="1:49" ht="13.5" customHeight="1" x14ac:dyDescent="0.15">
      <c r="A3" s="1"/>
      <c r="B3" s="1"/>
      <c r="C3" s="13">
        <v>1</v>
      </c>
      <c r="D3" s="14" t="s">
        <v>9</v>
      </c>
      <c r="E3" s="15">
        <v>3</v>
      </c>
      <c r="F3" s="15">
        <v>2</v>
      </c>
      <c r="G3" s="15">
        <v>6</v>
      </c>
      <c r="H3" s="15">
        <v>3</v>
      </c>
      <c r="I3" s="15">
        <v>6</v>
      </c>
      <c r="J3" s="15">
        <v>7</v>
      </c>
      <c r="K3" s="15">
        <v>12</v>
      </c>
      <c r="L3" s="15">
        <v>11</v>
      </c>
      <c r="M3" s="15">
        <v>11</v>
      </c>
      <c r="N3" s="15">
        <v>6</v>
      </c>
      <c r="O3" s="15">
        <v>5</v>
      </c>
      <c r="P3" s="15">
        <v>7</v>
      </c>
      <c r="Q3" s="15">
        <v>3</v>
      </c>
      <c r="R3" s="15">
        <v>8</v>
      </c>
      <c r="S3" s="15">
        <v>4</v>
      </c>
      <c r="T3" s="15">
        <v>5</v>
      </c>
      <c r="U3" s="15">
        <v>5</v>
      </c>
      <c r="V3" s="15">
        <v>7</v>
      </c>
      <c r="W3" s="15">
        <v>5</v>
      </c>
      <c r="X3" s="15">
        <v>9</v>
      </c>
      <c r="Y3" s="16">
        <f t="shared" ref="Y3:Y9" si="0">SUM(E3:X3)</f>
        <v>125</v>
      </c>
      <c r="Z3" s="17">
        <f t="shared" ref="Z3:Z10" si="1">Y3/Y$10</f>
        <v>6.3905930470347649E-2</v>
      </c>
      <c r="AA3" s="18" t="str">
        <f t="shared" ref="AA3:AA9" si="2">AC3&amp;CHAR(10)&amp;TEXT(Y3,"##,##0")&amp;"件"&amp;CHAR(10)&amp;TEXT(Z3,"0.0%")</f>
        <v>日本国籍
125件
6.4%</v>
      </c>
      <c r="AB3" s="18" t="str">
        <f t="shared" ref="AB3:AB10" si="3">D3</f>
        <v>日本</v>
      </c>
      <c r="AC3" s="18" t="s">
        <v>10</v>
      </c>
      <c r="AD3" s="3"/>
      <c r="AE3" s="6">
        <f>A3</f>
        <v>0</v>
      </c>
      <c r="AF3" s="19">
        <f>Y3+0.6</f>
        <v>125.6</v>
      </c>
      <c r="AG3" s="6">
        <f>RANK(AF3,$AF$3:$AF$9)</f>
        <v>7</v>
      </c>
      <c r="AH3" s="6" t="str">
        <f>AC3</f>
        <v>日本国籍</v>
      </c>
      <c r="AI3" s="20">
        <f t="shared" ref="AI3:AJ9" si="4">Y3</f>
        <v>125</v>
      </c>
      <c r="AJ3" s="21">
        <f t="shared" si="4"/>
        <v>6.3905930470347649E-2</v>
      </c>
    </row>
    <row r="4" spans="1:49" ht="13.5" customHeight="1" x14ac:dyDescent="0.15">
      <c r="A4" s="1"/>
      <c r="B4" s="1"/>
      <c r="C4" s="13">
        <v>2</v>
      </c>
      <c r="D4" s="14" t="s">
        <v>11</v>
      </c>
      <c r="E4" s="15">
        <v>17</v>
      </c>
      <c r="F4" s="15">
        <v>14</v>
      </c>
      <c r="G4" s="15">
        <v>23</v>
      </c>
      <c r="H4" s="15">
        <v>32</v>
      </c>
      <c r="I4" s="15">
        <v>31</v>
      </c>
      <c r="J4" s="15">
        <v>36</v>
      </c>
      <c r="K4" s="15">
        <v>31</v>
      </c>
      <c r="L4" s="15">
        <v>32</v>
      </c>
      <c r="M4" s="15">
        <v>32</v>
      </c>
      <c r="N4" s="15">
        <v>38</v>
      </c>
      <c r="O4" s="15">
        <v>21</v>
      </c>
      <c r="P4" s="15">
        <v>23</v>
      </c>
      <c r="Q4" s="15">
        <v>18</v>
      </c>
      <c r="R4" s="15">
        <v>11</v>
      </c>
      <c r="S4" s="15">
        <v>25</v>
      </c>
      <c r="T4" s="15">
        <v>20</v>
      </c>
      <c r="U4" s="15">
        <v>30</v>
      </c>
      <c r="V4" s="15">
        <v>21</v>
      </c>
      <c r="W4" s="15">
        <v>28</v>
      </c>
      <c r="X4" s="15">
        <v>23</v>
      </c>
      <c r="Y4" s="16">
        <f t="shared" si="0"/>
        <v>506</v>
      </c>
      <c r="Z4" s="17">
        <f t="shared" si="1"/>
        <v>0.25869120654396727</v>
      </c>
      <c r="AA4" s="18" t="str">
        <f t="shared" si="2"/>
        <v>米国籍
506件
25.9%</v>
      </c>
      <c r="AB4" s="18" t="str">
        <f t="shared" si="3"/>
        <v>米国</v>
      </c>
      <c r="AC4" s="18" t="s">
        <v>12</v>
      </c>
      <c r="AD4" s="3"/>
      <c r="AF4" s="19">
        <f>Y4+0.5</f>
        <v>506.5</v>
      </c>
      <c r="AG4" s="6">
        <f t="shared" ref="AG4:AG9" si="5">RANK(AF4,$AF$3:$AF$9)</f>
        <v>2</v>
      </c>
      <c r="AH4" s="6" t="str">
        <f t="shared" ref="AH4:AH9" si="6">AC4</f>
        <v>米国籍</v>
      </c>
      <c r="AI4" s="20">
        <f t="shared" si="4"/>
        <v>506</v>
      </c>
      <c r="AJ4" s="21">
        <f t="shared" si="4"/>
        <v>0.25869120654396727</v>
      </c>
    </row>
    <row r="5" spans="1:49" ht="13.5" customHeight="1" x14ac:dyDescent="0.15">
      <c r="B5" s="22"/>
      <c r="C5" s="13">
        <v>3</v>
      </c>
      <c r="D5" s="14" t="s">
        <v>13</v>
      </c>
      <c r="E5" s="15">
        <v>7</v>
      </c>
      <c r="F5" s="15">
        <v>10</v>
      </c>
      <c r="G5" s="15">
        <v>11</v>
      </c>
      <c r="H5" s="15">
        <v>11</v>
      </c>
      <c r="I5" s="15">
        <v>17</v>
      </c>
      <c r="J5" s="15">
        <v>25</v>
      </c>
      <c r="K5" s="15">
        <v>29</v>
      </c>
      <c r="L5" s="15">
        <v>25</v>
      </c>
      <c r="M5" s="15">
        <v>33</v>
      </c>
      <c r="N5" s="15">
        <v>35</v>
      </c>
      <c r="O5" s="15">
        <v>30</v>
      </c>
      <c r="P5" s="15">
        <v>37</v>
      </c>
      <c r="Q5" s="15">
        <v>29</v>
      </c>
      <c r="R5" s="15">
        <v>59</v>
      </c>
      <c r="S5" s="15">
        <v>51</v>
      </c>
      <c r="T5" s="15">
        <v>40</v>
      </c>
      <c r="U5" s="15">
        <v>48</v>
      </c>
      <c r="V5" s="15">
        <v>51</v>
      </c>
      <c r="W5" s="15">
        <v>40</v>
      </c>
      <c r="X5" s="15">
        <v>54</v>
      </c>
      <c r="Y5" s="16">
        <f t="shared" si="0"/>
        <v>642</v>
      </c>
      <c r="Z5" s="17">
        <f t="shared" si="1"/>
        <v>0.32822085889570551</v>
      </c>
      <c r="AA5" s="18" t="str">
        <f t="shared" si="2"/>
        <v>欧州国籍
642件
32.8%</v>
      </c>
      <c r="AB5" s="18" t="str">
        <f t="shared" si="3"/>
        <v>欧州</v>
      </c>
      <c r="AC5" s="18" t="s">
        <v>14</v>
      </c>
      <c r="AD5" s="3"/>
      <c r="AF5" s="19">
        <f>Y5+4</f>
        <v>646</v>
      </c>
      <c r="AG5" s="6">
        <f t="shared" si="5"/>
        <v>1</v>
      </c>
      <c r="AH5" s="6" t="str">
        <f t="shared" si="6"/>
        <v>欧州国籍</v>
      </c>
      <c r="AI5" s="20">
        <f t="shared" si="4"/>
        <v>642</v>
      </c>
      <c r="AJ5" s="21">
        <f t="shared" si="4"/>
        <v>0.32822085889570551</v>
      </c>
    </row>
    <row r="6" spans="1:49" ht="13.5" customHeight="1" x14ac:dyDescent="0.15">
      <c r="C6" s="13">
        <v>4</v>
      </c>
      <c r="D6" s="14" t="s">
        <v>15</v>
      </c>
      <c r="E6" s="15"/>
      <c r="F6" s="15">
        <v>1</v>
      </c>
      <c r="G6" s="15">
        <v>1</v>
      </c>
      <c r="H6" s="15">
        <v>3</v>
      </c>
      <c r="I6" s="15">
        <v>5</v>
      </c>
      <c r="J6" s="15">
        <v>1</v>
      </c>
      <c r="K6" s="15">
        <v>3</v>
      </c>
      <c r="L6" s="15">
        <v>1</v>
      </c>
      <c r="M6" s="15">
        <v>6</v>
      </c>
      <c r="N6" s="15">
        <v>7</v>
      </c>
      <c r="O6" s="15">
        <v>11</v>
      </c>
      <c r="P6" s="15">
        <v>15</v>
      </c>
      <c r="Q6" s="15">
        <v>16</v>
      </c>
      <c r="R6" s="15">
        <v>21</v>
      </c>
      <c r="S6" s="15">
        <v>20</v>
      </c>
      <c r="T6" s="15">
        <v>18</v>
      </c>
      <c r="U6" s="15">
        <v>14</v>
      </c>
      <c r="V6" s="15">
        <v>24</v>
      </c>
      <c r="W6" s="15">
        <v>14</v>
      </c>
      <c r="X6" s="15">
        <v>22</v>
      </c>
      <c r="Y6" s="16">
        <f t="shared" si="0"/>
        <v>203</v>
      </c>
      <c r="Z6" s="17">
        <f t="shared" si="1"/>
        <v>0.10378323108384459</v>
      </c>
      <c r="AA6" s="18" t="str">
        <f t="shared" si="2"/>
        <v>中国籍
203件
10.4%</v>
      </c>
      <c r="AB6" s="18" t="str">
        <f t="shared" si="3"/>
        <v>中国</v>
      </c>
      <c r="AC6" s="18" t="s">
        <v>16</v>
      </c>
      <c r="AD6" s="3"/>
      <c r="AF6" s="19">
        <f>Y6+0.3</f>
        <v>203.3</v>
      </c>
      <c r="AG6" s="6">
        <f t="shared" si="5"/>
        <v>3</v>
      </c>
      <c r="AH6" s="6" t="str">
        <f t="shared" si="6"/>
        <v>中国籍</v>
      </c>
      <c r="AI6" s="20">
        <f t="shared" si="4"/>
        <v>203</v>
      </c>
      <c r="AJ6" s="21">
        <f t="shared" si="4"/>
        <v>0.10378323108384459</v>
      </c>
      <c r="AR6" s="23"/>
      <c r="AS6" s="23"/>
      <c r="AT6" s="23"/>
      <c r="AU6" s="23"/>
      <c r="AV6" s="23"/>
      <c r="AW6" s="23"/>
    </row>
    <row r="7" spans="1:49" ht="13.5" customHeight="1" x14ac:dyDescent="0.15">
      <c r="C7" s="13">
        <v>5</v>
      </c>
      <c r="D7" s="14" t="s">
        <v>55</v>
      </c>
      <c r="E7" s="15">
        <v>2</v>
      </c>
      <c r="F7" s="15">
        <v>1</v>
      </c>
      <c r="G7" s="15">
        <v>1</v>
      </c>
      <c r="H7" s="15">
        <v>2</v>
      </c>
      <c r="I7" s="15">
        <v>4</v>
      </c>
      <c r="J7" s="15">
        <v>9</v>
      </c>
      <c r="K7" s="15">
        <v>9</v>
      </c>
      <c r="L7" s="15">
        <v>15</v>
      </c>
      <c r="M7" s="15">
        <v>20</v>
      </c>
      <c r="N7" s="15">
        <v>25</v>
      </c>
      <c r="O7" s="15">
        <v>26</v>
      </c>
      <c r="P7" s="15">
        <v>14</v>
      </c>
      <c r="Q7" s="15">
        <v>12</v>
      </c>
      <c r="R7" s="15">
        <v>18</v>
      </c>
      <c r="S7" s="15">
        <v>9</v>
      </c>
      <c r="T7" s="15">
        <v>10</v>
      </c>
      <c r="U7" s="15">
        <v>4</v>
      </c>
      <c r="V7" s="15">
        <v>6</v>
      </c>
      <c r="W7" s="15">
        <v>8</v>
      </c>
      <c r="X7" s="15">
        <v>6</v>
      </c>
      <c r="Y7" s="16">
        <f t="shared" si="0"/>
        <v>201</v>
      </c>
      <c r="Z7" s="17">
        <f t="shared" si="1"/>
        <v>0.10276073619631902</v>
      </c>
      <c r="AA7" s="18" t="str">
        <f t="shared" si="2"/>
        <v>韓国籍
201件
10.3%</v>
      </c>
      <c r="AB7" s="18" t="str">
        <f t="shared" si="3"/>
        <v>韓国</v>
      </c>
      <c r="AC7" s="18" t="s">
        <v>17</v>
      </c>
      <c r="AD7" s="3"/>
      <c r="AF7" s="19">
        <f>Y7+0.2</f>
        <v>201.2</v>
      </c>
      <c r="AG7" s="6">
        <f t="shared" si="5"/>
        <v>4</v>
      </c>
      <c r="AH7" s="6" t="str">
        <f t="shared" si="6"/>
        <v>韓国籍</v>
      </c>
      <c r="AI7" s="20">
        <f t="shared" si="4"/>
        <v>201</v>
      </c>
      <c r="AJ7" s="21">
        <f t="shared" si="4"/>
        <v>0.10276073619631902</v>
      </c>
      <c r="AR7" s="23"/>
      <c r="AS7" s="23"/>
      <c r="AT7" s="23"/>
      <c r="AU7" s="23"/>
      <c r="AV7" s="23"/>
      <c r="AW7" s="23"/>
    </row>
    <row r="8" spans="1:49" ht="13.5" customHeight="1" x14ac:dyDescent="0.15">
      <c r="C8" s="13">
        <v>6</v>
      </c>
      <c r="D8" s="14" t="s">
        <v>0</v>
      </c>
      <c r="E8" s="15">
        <v>1</v>
      </c>
      <c r="F8" s="15"/>
      <c r="G8" s="15"/>
      <c r="H8" s="15">
        <v>1</v>
      </c>
      <c r="I8" s="15">
        <v>4</v>
      </c>
      <c r="J8" s="15">
        <v>3</v>
      </c>
      <c r="K8" s="15">
        <v>7</v>
      </c>
      <c r="L8" s="15">
        <v>8</v>
      </c>
      <c r="M8" s="15">
        <v>10</v>
      </c>
      <c r="N8" s="15">
        <v>15</v>
      </c>
      <c r="O8" s="15">
        <v>14</v>
      </c>
      <c r="P8" s="15">
        <v>11</v>
      </c>
      <c r="Q8" s="15">
        <v>23</v>
      </c>
      <c r="R8" s="15">
        <v>10</v>
      </c>
      <c r="S8" s="15">
        <v>7</v>
      </c>
      <c r="T8" s="15">
        <v>2</v>
      </c>
      <c r="U8" s="15">
        <v>4</v>
      </c>
      <c r="V8" s="15">
        <v>4</v>
      </c>
      <c r="W8" s="15">
        <v>6</v>
      </c>
      <c r="X8" s="15">
        <v>9</v>
      </c>
      <c r="Y8" s="16">
        <f t="shared" si="0"/>
        <v>139</v>
      </c>
      <c r="Z8" s="17">
        <f t="shared" si="1"/>
        <v>7.1063394683026582E-2</v>
      </c>
      <c r="AA8" s="18" t="str">
        <f t="shared" si="2"/>
        <v>台湾籍
139件
7.1%</v>
      </c>
      <c r="AB8" s="18" t="str">
        <f t="shared" si="3"/>
        <v>台湾</v>
      </c>
      <c r="AC8" s="18" t="s">
        <v>18</v>
      </c>
      <c r="AD8" s="3"/>
      <c r="AF8" s="19">
        <f>Y8+0.1</f>
        <v>139.1</v>
      </c>
      <c r="AG8" s="6">
        <f t="shared" si="5"/>
        <v>6</v>
      </c>
      <c r="AH8" s="6" t="str">
        <f t="shared" si="6"/>
        <v>台湾籍</v>
      </c>
      <c r="AI8" s="20">
        <f t="shared" si="4"/>
        <v>139</v>
      </c>
      <c r="AJ8" s="21">
        <f t="shared" si="4"/>
        <v>7.1063394683026582E-2</v>
      </c>
      <c r="AR8" s="23"/>
      <c r="AS8" s="23"/>
      <c r="AT8" s="23"/>
      <c r="AU8" s="23"/>
      <c r="AV8" s="23"/>
      <c r="AW8" s="23"/>
    </row>
    <row r="9" spans="1:49" ht="13.5" customHeight="1" x14ac:dyDescent="0.15">
      <c r="C9" s="6">
        <v>9</v>
      </c>
      <c r="D9" s="15" t="s">
        <v>1</v>
      </c>
      <c r="E9" s="15">
        <v>1</v>
      </c>
      <c r="F9" s="15"/>
      <c r="G9" s="15">
        <v>1</v>
      </c>
      <c r="H9" s="15">
        <v>4</v>
      </c>
      <c r="I9" s="15">
        <v>4</v>
      </c>
      <c r="J9" s="15">
        <v>2</v>
      </c>
      <c r="K9" s="15">
        <v>1</v>
      </c>
      <c r="L9" s="15">
        <v>6</v>
      </c>
      <c r="M9" s="15">
        <v>6</v>
      </c>
      <c r="N9" s="15">
        <v>6</v>
      </c>
      <c r="O9" s="15">
        <v>9</v>
      </c>
      <c r="P9" s="15">
        <v>9</v>
      </c>
      <c r="Q9" s="15">
        <v>5</v>
      </c>
      <c r="R9" s="15">
        <v>4</v>
      </c>
      <c r="S9" s="15">
        <v>8</v>
      </c>
      <c r="T9" s="15">
        <v>9</v>
      </c>
      <c r="U9" s="15">
        <v>11</v>
      </c>
      <c r="V9" s="15">
        <v>20</v>
      </c>
      <c r="W9" s="15">
        <v>13</v>
      </c>
      <c r="X9" s="15">
        <v>21</v>
      </c>
      <c r="Y9" s="16">
        <f t="shared" si="0"/>
        <v>140</v>
      </c>
      <c r="Z9" s="17">
        <f t="shared" si="1"/>
        <v>7.1574642126789365E-2</v>
      </c>
      <c r="AA9" s="15" t="str">
        <f t="shared" si="2"/>
        <v>その他
140件
7.2%</v>
      </c>
      <c r="AB9" s="15" t="str">
        <f t="shared" si="3"/>
        <v>その他</v>
      </c>
      <c r="AC9" s="15" t="s">
        <v>1</v>
      </c>
      <c r="AF9" s="19">
        <f>Y9</f>
        <v>140</v>
      </c>
      <c r="AG9" s="6">
        <f t="shared" si="5"/>
        <v>5</v>
      </c>
      <c r="AH9" s="6" t="str">
        <f t="shared" si="6"/>
        <v>その他</v>
      </c>
      <c r="AI9" s="20">
        <f t="shared" si="4"/>
        <v>140</v>
      </c>
      <c r="AJ9" s="21">
        <f t="shared" si="4"/>
        <v>7.1574642126789365E-2</v>
      </c>
      <c r="AR9" s="23"/>
      <c r="AS9" s="23"/>
      <c r="AT9" s="23"/>
      <c r="AU9" s="23"/>
      <c r="AV9" s="23"/>
      <c r="AW9" s="23"/>
    </row>
    <row r="10" spans="1:49" ht="13.5" customHeight="1" x14ac:dyDescent="0.15">
      <c r="C10" s="22"/>
      <c r="D10" s="24" t="s">
        <v>3</v>
      </c>
      <c r="E10" s="25">
        <f t="shared" ref="E10:Y10" si="7">SUM(E3:E9)</f>
        <v>31</v>
      </c>
      <c r="F10" s="25">
        <f t="shared" si="7"/>
        <v>28</v>
      </c>
      <c r="G10" s="25">
        <f t="shared" si="7"/>
        <v>43</v>
      </c>
      <c r="H10" s="25">
        <f t="shared" si="7"/>
        <v>56</v>
      </c>
      <c r="I10" s="25">
        <f t="shared" si="7"/>
        <v>71</v>
      </c>
      <c r="J10" s="25">
        <f t="shared" si="7"/>
        <v>83</v>
      </c>
      <c r="K10" s="25">
        <f t="shared" si="7"/>
        <v>92</v>
      </c>
      <c r="L10" s="25">
        <f t="shared" si="7"/>
        <v>98</v>
      </c>
      <c r="M10" s="25">
        <f t="shared" si="7"/>
        <v>118</v>
      </c>
      <c r="N10" s="25">
        <f t="shared" si="7"/>
        <v>132</v>
      </c>
      <c r="O10" s="25">
        <f t="shared" si="7"/>
        <v>116</v>
      </c>
      <c r="P10" s="25">
        <f t="shared" si="7"/>
        <v>116</v>
      </c>
      <c r="Q10" s="25">
        <f t="shared" si="7"/>
        <v>106</v>
      </c>
      <c r="R10" s="25">
        <f t="shared" si="7"/>
        <v>131</v>
      </c>
      <c r="S10" s="25">
        <f t="shared" si="7"/>
        <v>124</v>
      </c>
      <c r="T10" s="25">
        <f t="shared" si="7"/>
        <v>104</v>
      </c>
      <c r="U10" s="25">
        <f t="shared" si="7"/>
        <v>116</v>
      </c>
      <c r="V10" s="25">
        <f t="shared" si="7"/>
        <v>133</v>
      </c>
      <c r="W10" s="25">
        <f t="shared" si="7"/>
        <v>114</v>
      </c>
      <c r="X10" s="25">
        <f t="shared" si="7"/>
        <v>144</v>
      </c>
      <c r="Y10" s="25">
        <f t="shared" si="7"/>
        <v>1956</v>
      </c>
      <c r="Z10" s="26">
        <f t="shared" si="1"/>
        <v>1</v>
      </c>
      <c r="AA10" s="27" t="str">
        <f>AC10&amp;CHAR(10)&amp;TEXT(Y10,"##,##0")&amp;"件"</f>
        <v>合計
1,956件</v>
      </c>
      <c r="AB10" s="28" t="str">
        <f t="shared" si="3"/>
        <v>合計</v>
      </c>
      <c r="AC10" s="27" t="s">
        <v>3</v>
      </c>
      <c r="AD10" s="29">
        <f>SUM(E10:X10)</f>
        <v>1956</v>
      </c>
      <c r="AR10" s="23"/>
      <c r="AS10" s="23"/>
      <c r="AT10" s="23"/>
      <c r="AU10" s="23"/>
      <c r="AV10" s="23"/>
      <c r="AW10" s="23"/>
    </row>
    <row r="11" spans="1:49" ht="13.5" customHeight="1" x14ac:dyDescent="0.15">
      <c r="B11" s="2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49" ht="13.5" customHeight="1" x14ac:dyDescent="0.15">
      <c r="A12" s="7"/>
      <c r="B12" s="7"/>
      <c r="C12" s="7"/>
      <c r="D12" s="7" t="s">
        <v>64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W12" s="23"/>
    </row>
    <row r="13" spans="1:49" ht="13.5" customHeight="1" x14ac:dyDescent="0.15">
      <c r="A13" s="7"/>
      <c r="B13" s="7"/>
      <c r="C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W13" s="23"/>
    </row>
    <row r="14" spans="1:49" ht="13.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R14" s="23"/>
      <c r="AS14" s="23"/>
      <c r="AT14" s="23"/>
      <c r="AU14" s="23"/>
      <c r="AV14" s="23"/>
      <c r="AW14" s="23"/>
    </row>
    <row r="15" spans="1:49" ht="13.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F15" s="6" t="s">
        <v>56</v>
      </c>
      <c r="AR15" s="23"/>
      <c r="AS15" s="23"/>
      <c r="AT15" s="23"/>
      <c r="AU15" s="23"/>
      <c r="AV15" s="23"/>
      <c r="AW15" s="23"/>
    </row>
    <row r="16" spans="1:49" ht="13.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F16" s="6" t="s">
        <v>19</v>
      </c>
      <c r="AG16" s="6" t="str">
        <f>TEXT(Y10,"#,##0")&amp;"件"</f>
        <v>1,956件</v>
      </c>
      <c r="AM16" s="6" t="str">
        <f>AF15&amp;"の"&amp;AF16&amp;"は"&amp;AG16&amp;"で、"&amp;AH17&amp;"で"</f>
        <v>論文発表件数（1999～2018年）の合計は1,956件で、研究者所属機関国籍（地域）で</v>
      </c>
      <c r="AR16" s="23"/>
      <c r="AS16" s="23"/>
      <c r="AT16" s="23"/>
      <c r="AU16" s="23"/>
      <c r="AV16" s="23"/>
      <c r="AW16" s="23"/>
    </row>
    <row r="17" spans="1:49" ht="13.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F17" s="6" t="s">
        <v>20</v>
      </c>
      <c r="AH17" s="6" t="s">
        <v>57</v>
      </c>
      <c r="AM17" s="21" t="str">
        <f>AF18&amp;"のは、"&amp;AG18&amp;"の"&amp;AH18&amp;"で全体の"</f>
        <v>最も多いのは、欧州国籍の642件で全体の</v>
      </c>
      <c r="AR17" s="23"/>
      <c r="AS17" s="23"/>
      <c r="AT17" s="23"/>
      <c r="AU17" s="23"/>
      <c r="AV17" s="23"/>
      <c r="AW17" s="23"/>
    </row>
    <row r="18" spans="1:49" ht="13.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F18" s="6" t="s">
        <v>22</v>
      </c>
      <c r="AG18" s="6" t="str">
        <f>VLOOKUP(1,$AG$3:$AJ$9,2,0)</f>
        <v>欧州国籍</v>
      </c>
      <c r="AH18" s="6" t="str">
        <f>TEXT(VLOOKUP(1,$AG$3:$AJ$9,3,0),"#,##0")&amp;"件"</f>
        <v>642件</v>
      </c>
      <c r="AJ18" s="21">
        <f>VLOOKUP(1,$AG$3:$AJ$9,4,0)</f>
        <v>0.32822085889570551</v>
      </c>
      <c r="AM18" s="30">
        <f>INT(AJ18*1000+0.5)/10</f>
        <v>32.799999999999997</v>
      </c>
      <c r="AN18" s="6" t="s">
        <v>21</v>
      </c>
      <c r="AR18" s="23"/>
      <c r="AS18" s="23"/>
      <c r="AT18" s="23"/>
      <c r="AU18" s="23"/>
      <c r="AV18" s="23"/>
      <c r="AW18" s="23"/>
    </row>
    <row r="19" spans="1:49" ht="13.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F19" s="6" t="s">
        <v>23</v>
      </c>
      <c r="AG19" s="6" t="str">
        <f>VLOOKUP(2,$AG$3:$AJ$9,2,0)</f>
        <v>米国籍</v>
      </c>
      <c r="AH19" s="6" t="str">
        <f>TEXT(VLOOKUP(2,$AG$3:$AJ$9,3,0),"#,##0")&amp;"件"</f>
        <v>506件</v>
      </c>
      <c r="AI19" s="6" t="s">
        <v>58</v>
      </c>
      <c r="AJ19" s="21">
        <f>VLOOKUP(2,$AG$3:$AJ$9,4,0)</f>
        <v>0.25869120654396727</v>
      </c>
      <c r="AK19" s="6" t="s">
        <v>25</v>
      </c>
      <c r="AM19" s="6" t="str">
        <f>AF19</f>
        <v>次いで、</v>
      </c>
      <c r="AN19" s="6" t="str">
        <f>AG19&amp;"の"&amp;AH19&amp;AI19</f>
        <v>米国籍の506件(</v>
      </c>
      <c r="AP19" s="30">
        <f>INT(AJ19*1000+0.5)/10</f>
        <v>25.9</v>
      </c>
      <c r="AQ19" s="4" t="str">
        <f>"％"&amp;AK19</f>
        <v>％)、</v>
      </c>
      <c r="AR19" s="23"/>
      <c r="AS19" s="23"/>
      <c r="AT19" s="23"/>
      <c r="AU19" s="23"/>
      <c r="AV19" s="23"/>
      <c r="AW19" s="23"/>
    </row>
    <row r="20" spans="1:49" ht="13.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G20" s="6" t="str">
        <f>VLOOKUP(3,$AG$3:$AJ$9,2,0)</f>
        <v>中国籍</v>
      </c>
      <c r="AH20" s="6" t="str">
        <f>TEXT(VLOOKUP(3,$AG$3:$AJ$9,3,0),"#,##0")&amp;"件"</f>
        <v>203件</v>
      </c>
      <c r="AI20" s="6" t="s">
        <v>59</v>
      </c>
      <c r="AJ20" s="21">
        <f>VLOOKUP(3,$AG$3:$AJ$9,4,0)</f>
        <v>0.10378323108384459</v>
      </c>
      <c r="AK20" s="6" t="s">
        <v>25</v>
      </c>
      <c r="AM20" s="6" t="str">
        <f>AG20&amp;"が"&amp;AH20&amp;AI20</f>
        <v>中国籍が203件(</v>
      </c>
      <c r="AO20" s="30">
        <f>INT(AJ20*1000+0.5)/10</f>
        <v>10.4</v>
      </c>
      <c r="AP20" s="4" t="str">
        <f>"％"&amp;AK20</f>
        <v>％)、</v>
      </c>
      <c r="AR20" s="23"/>
      <c r="AS20" s="23"/>
      <c r="AT20" s="23"/>
      <c r="AU20" s="23"/>
      <c r="AV20" s="23"/>
      <c r="AW20" s="23"/>
    </row>
    <row r="21" spans="1:49" ht="13.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G21" s="6" t="str">
        <f>VLOOKUP(4,$AG$3:$AJ$9,2,0)</f>
        <v>韓国籍</v>
      </c>
      <c r="AH21" s="6" t="str">
        <f>TEXT(VLOOKUP(4,$AG$3:$AJ$9,3,0),"#,##0")&amp;"件"</f>
        <v>201件</v>
      </c>
      <c r="AI21" s="6" t="s">
        <v>59</v>
      </c>
      <c r="AJ21" s="21">
        <f>VLOOKUP(4,$AG$3:$AJ$9,4,0)</f>
        <v>0.10276073619631902</v>
      </c>
      <c r="AK21" s="6" t="s">
        <v>25</v>
      </c>
      <c r="AM21" s="6" t="str">
        <f t="shared" ref="AM21:AM24" si="8">AG21&amp;"が"&amp;AH21&amp;AI21</f>
        <v>韓国籍が201件(</v>
      </c>
      <c r="AO21" s="30">
        <f>INT(AJ21*1000+0.5)/10</f>
        <v>10.3</v>
      </c>
      <c r="AP21" s="4" t="str">
        <f t="shared" ref="AP21:AP23" si="9">"％"&amp;AK21</f>
        <v>％)、</v>
      </c>
      <c r="AQ21" s="4"/>
      <c r="AR21" s="23"/>
      <c r="AS21" s="23"/>
      <c r="AT21" s="23"/>
      <c r="AU21" s="23"/>
      <c r="AV21" s="23"/>
      <c r="AW21" s="23"/>
    </row>
    <row r="22" spans="1:49" ht="13.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G22" s="6" t="str">
        <f>VLOOKUP(5,$AG$3:$AJ$9,2,0)</f>
        <v>その他</v>
      </c>
      <c r="AH22" s="6" t="str">
        <f>TEXT(VLOOKUP(5,$AG$3:$AJ$9,3,0),"#,##0")&amp;"件"</f>
        <v>140件</v>
      </c>
      <c r="AI22" s="6" t="s">
        <v>24</v>
      </c>
      <c r="AJ22" s="21">
        <f>VLOOKUP(5,$AG$3:$AJ$9,4,0)</f>
        <v>7.1574642126789365E-2</v>
      </c>
      <c r="AK22" s="6" t="s">
        <v>25</v>
      </c>
      <c r="AM22" s="6" t="str">
        <f t="shared" si="8"/>
        <v>その他が140件(</v>
      </c>
      <c r="AO22" s="30">
        <f>INT(AJ22*1000+0.5)/10</f>
        <v>7.2</v>
      </c>
      <c r="AP22" s="4" t="str">
        <f t="shared" si="9"/>
        <v>％)、</v>
      </c>
      <c r="AR22" s="23"/>
      <c r="AS22" s="23"/>
      <c r="AT22" s="23"/>
      <c r="AU22" s="23"/>
      <c r="AV22" s="23"/>
      <c r="AW22" s="23"/>
    </row>
    <row r="23" spans="1:49" ht="13.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G23" s="6" t="str">
        <f>VLOOKUP(6,$AG$3:$AJ$9,2,0)</f>
        <v>台湾籍</v>
      </c>
      <c r="AH23" s="6" t="str">
        <f>TEXT(VLOOKUP(6,$AG$3:$AJ$9,3,0),"#,##0")&amp;"件"</f>
        <v>139件</v>
      </c>
      <c r="AI23" s="6" t="s">
        <v>59</v>
      </c>
      <c r="AJ23" s="21">
        <f>VLOOKUP(6,$AG$3:$AJ$9,4,0)</f>
        <v>7.1063394683026582E-2</v>
      </c>
      <c r="AK23" s="6" t="s">
        <v>25</v>
      </c>
      <c r="AM23" s="6" t="str">
        <f t="shared" si="8"/>
        <v>台湾籍が139件(</v>
      </c>
      <c r="AO23" s="30">
        <f>INT(AJ23*1000+0.5)/10</f>
        <v>7.1</v>
      </c>
      <c r="AP23" s="4" t="str">
        <f t="shared" si="9"/>
        <v>％)、</v>
      </c>
      <c r="AR23" s="4"/>
      <c r="AS23" s="4"/>
      <c r="AT23" s="23"/>
      <c r="AU23" s="23"/>
      <c r="AV23" s="23"/>
      <c r="AW23" s="23"/>
    </row>
    <row r="24" spans="1:49" ht="13.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G24" s="6" t="str">
        <f>VLOOKUP(7,$AG$3:$AJ$9,2,0)</f>
        <v>日本国籍</v>
      </c>
      <c r="AH24" s="6" t="str">
        <f>TEXT(VLOOKUP(7,$AG$3:$AJ$9,3,0),"#,##0")&amp;"件"</f>
        <v>125件</v>
      </c>
      <c r="AI24" s="6" t="s">
        <v>60</v>
      </c>
      <c r="AJ24" s="21">
        <f>VLOOKUP(7,$AG$3:$AJ$9,4,0)</f>
        <v>6.3905930470347649E-2</v>
      </c>
      <c r="AK24" s="6" t="s">
        <v>61</v>
      </c>
      <c r="AM24" s="6" t="str">
        <f t="shared" si="8"/>
        <v>日本国籍が125件(</v>
      </c>
      <c r="AO24" s="30">
        <f>INT(AJ24*1000+0.5)/10</f>
        <v>6.4</v>
      </c>
      <c r="AP24" s="6" t="str">
        <f>"％"&amp;AK24</f>
        <v>％)</v>
      </c>
      <c r="AQ24" s="6" t="s">
        <v>62</v>
      </c>
      <c r="AR24" s="4"/>
      <c r="AS24" s="4"/>
      <c r="AT24" s="23"/>
      <c r="AU24" s="23"/>
      <c r="AV24" s="23"/>
      <c r="AW24" s="23"/>
    </row>
    <row r="25" spans="1:49" ht="13.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N25" s="4"/>
      <c r="AO25" s="4"/>
      <c r="AP25" s="4"/>
      <c r="AQ25" s="4"/>
      <c r="AR25" s="23"/>
      <c r="AS25" s="23"/>
      <c r="AT25" s="23"/>
      <c r="AU25" s="23"/>
      <c r="AV25" s="23"/>
      <c r="AW25" s="23"/>
    </row>
    <row r="26" spans="1:49" ht="13.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F26" s="35" t="str">
        <f>AM16&amp;AM17&amp;AM18&amp;AN18&amp;AM19&amp;AN19&amp;AP19&amp;AQ19&amp;AM20&amp;AO20&amp;AP20&amp;AM21&amp;AO21&amp;AP21&amp;AM22&amp;AO22&amp;AP22&amp;AM23&amp;AO23&amp;AP23&amp;AM24&amp;AO24&amp;AP24&amp;AQ24</f>
        <v>論文発表件数（1999～2018年）の合計は1,956件で、研究者所属機関国籍（地域）で最も多いのは、欧州国籍の642件で全体の32.8％を占めている。次いで、米国籍の506件(25.9％)、中国籍が203件(10.4％)、韓国籍が201件(10.3％)、その他が140件(7.2％)、台湾籍が139件(7.1％)、日本国籍が125件(6.4％)である。</v>
      </c>
      <c r="AG26" s="36"/>
      <c r="AH26" s="36"/>
      <c r="AI26" s="36"/>
      <c r="AJ26" s="36"/>
      <c r="AK26" s="36"/>
      <c r="AL26" s="36"/>
      <c r="AM26" s="37"/>
      <c r="AN26" s="4"/>
      <c r="AO26" s="4"/>
      <c r="AP26" s="4"/>
      <c r="AQ26" s="4"/>
      <c r="AR26" s="23"/>
      <c r="AS26" s="23"/>
      <c r="AT26" s="23"/>
      <c r="AU26" s="23"/>
      <c r="AV26" s="23"/>
      <c r="AW26" s="23"/>
    </row>
    <row r="27" spans="1:49" ht="13.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F27" s="38"/>
      <c r="AG27" s="39"/>
      <c r="AH27" s="39"/>
      <c r="AI27" s="39"/>
      <c r="AJ27" s="39"/>
      <c r="AK27" s="39"/>
      <c r="AL27" s="39"/>
      <c r="AM27" s="40"/>
      <c r="AR27" s="23"/>
      <c r="AS27" s="23"/>
      <c r="AT27" s="23"/>
      <c r="AU27" s="23"/>
      <c r="AV27" s="23"/>
      <c r="AW27" s="23"/>
    </row>
    <row r="28" spans="1:49" ht="13.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F28" s="38"/>
      <c r="AG28" s="39"/>
      <c r="AH28" s="39"/>
      <c r="AI28" s="39"/>
      <c r="AJ28" s="39"/>
      <c r="AK28" s="39"/>
      <c r="AL28" s="39"/>
      <c r="AM28" s="40"/>
      <c r="AN28" s="4"/>
      <c r="AO28" s="4"/>
      <c r="AP28" s="4"/>
      <c r="AQ28" s="4"/>
      <c r="AR28" s="23"/>
      <c r="AS28" s="23"/>
      <c r="AT28" s="23"/>
      <c r="AU28" s="23"/>
      <c r="AV28" s="23"/>
    </row>
    <row r="29" spans="1:49" ht="13.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F29" s="38"/>
      <c r="AG29" s="39"/>
      <c r="AH29" s="39"/>
      <c r="AI29" s="39"/>
      <c r="AJ29" s="39"/>
      <c r="AK29" s="39"/>
      <c r="AL29" s="39"/>
      <c r="AM29" s="40"/>
      <c r="AR29" s="23"/>
      <c r="AS29" s="23"/>
      <c r="AT29" s="23"/>
      <c r="AU29" s="23"/>
      <c r="AV29" s="23"/>
    </row>
    <row r="30" spans="1:49" ht="13.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F30" s="38"/>
      <c r="AG30" s="39"/>
      <c r="AH30" s="39"/>
      <c r="AI30" s="39"/>
      <c r="AJ30" s="39"/>
      <c r="AK30" s="39"/>
      <c r="AL30" s="39"/>
      <c r="AM30" s="40"/>
      <c r="AR30" s="23"/>
      <c r="AS30" s="23"/>
      <c r="AT30" s="23"/>
      <c r="AU30" s="23"/>
      <c r="AV30" s="23"/>
    </row>
    <row r="31" spans="1:49" ht="13.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F31" s="38"/>
      <c r="AG31" s="39"/>
      <c r="AH31" s="39"/>
      <c r="AI31" s="39"/>
      <c r="AJ31" s="39"/>
      <c r="AK31" s="39"/>
      <c r="AL31" s="39"/>
      <c r="AM31" s="40"/>
      <c r="AR31" s="23"/>
      <c r="AS31" s="23"/>
      <c r="AT31" s="23"/>
      <c r="AU31" s="23"/>
      <c r="AV31" s="23"/>
    </row>
    <row r="32" spans="1:49" ht="13.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F32" s="38"/>
      <c r="AG32" s="39"/>
      <c r="AH32" s="39"/>
      <c r="AI32" s="39"/>
      <c r="AJ32" s="39"/>
      <c r="AK32" s="39"/>
      <c r="AL32" s="39"/>
      <c r="AM32" s="40"/>
      <c r="AN32" s="4"/>
      <c r="AO32" s="4"/>
      <c r="AP32" s="4"/>
      <c r="AQ32" s="4"/>
      <c r="AR32" s="23"/>
      <c r="AS32" s="23"/>
      <c r="AT32" s="23"/>
      <c r="AU32" s="23"/>
      <c r="AV32" s="23"/>
    </row>
    <row r="33" spans="1:43" ht="13.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F33" s="38"/>
      <c r="AG33" s="39"/>
      <c r="AH33" s="39"/>
      <c r="AI33" s="39"/>
      <c r="AJ33" s="39"/>
      <c r="AK33" s="39"/>
      <c r="AL33" s="39"/>
      <c r="AM33" s="40"/>
      <c r="AN33" s="4"/>
      <c r="AO33" s="4"/>
      <c r="AP33" s="4"/>
      <c r="AQ33" s="4"/>
    </row>
    <row r="34" spans="1:43" ht="13.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F34" s="38"/>
      <c r="AG34" s="39"/>
      <c r="AH34" s="39"/>
      <c r="AI34" s="39"/>
      <c r="AJ34" s="39"/>
      <c r="AK34" s="39"/>
      <c r="AL34" s="39"/>
      <c r="AM34" s="40"/>
    </row>
    <row r="35" spans="1:43" ht="13.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F35" s="41"/>
      <c r="AG35" s="42"/>
      <c r="AH35" s="42"/>
      <c r="AI35" s="42"/>
      <c r="AJ35" s="42"/>
      <c r="AK35" s="42"/>
      <c r="AL35" s="42"/>
      <c r="AM35" s="43"/>
    </row>
    <row r="36" spans="1:43" ht="13.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43" ht="13.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43" ht="13.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43" ht="13.5" customHeight="1" x14ac:dyDescent="0.15">
      <c r="A39" s="7"/>
      <c r="B39" s="7"/>
      <c r="C39" s="7"/>
      <c r="D39" s="7" t="s">
        <v>63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7"/>
      <c r="AC39" s="7"/>
      <c r="AD39" s="7"/>
    </row>
    <row r="40" spans="1:43" ht="13.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7"/>
      <c r="AC40" s="7"/>
      <c r="AD40" s="7"/>
    </row>
    <row r="41" spans="1:43" ht="13.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7"/>
      <c r="AC41" s="7"/>
      <c r="AD41" s="7"/>
    </row>
    <row r="42" spans="1:43" ht="13.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7"/>
      <c r="AC42" s="7"/>
      <c r="AD42" s="7"/>
    </row>
    <row r="43" spans="1:43" ht="13.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7"/>
      <c r="AC43" s="7"/>
      <c r="AD43" s="7"/>
    </row>
    <row r="44" spans="1:43" ht="13.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7"/>
      <c r="AC44" s="7"/>
      <c r="AD44" s="7"/>
    </row>
    <row r="45" spans="1:43" ht="13.5" customHeight="1" x14ac:dyDescent="0.15">
      <c r="A45" s="7"/>
      <c r="B45" s="7"/>
      <c r="C45" s="7"/>
      <c r="D45" s="32" t="s">
        <v>26</v>
      </c>
      <c r="E45" s="32" t="s">
        <v>27</v>
      </c>
      <c r="F45" s="32" t="s">
        <v>28</v>
      </c>
      <c r="G45" s="32" t="s">
        <v>29</v>
      </c>
      <c r="H45" s="32" t="s">
        <v>30</v>
      </c>
      <c r="I45" s="32" t="s">
        <v>31</v>
      </c>
      <c r="J45" s="32" t="s">
        <v>32</v>
      </c>
      <c r="K45" s="32" t="s">
        <v>33</v>
      </c>
      <c r="L45" s="32" t="s">
        <v>34</v>
      </c>
      <c r="M45" s="32" t="s">
        <v>35</v>
      </c>
      <c r="N45" s="32" t="s">
        <v>36</v>
      </c>
      <c r="O45" s="32" t="s">
        <v>37</v>
      </c>
      <c r="P45" s="32" t="s">
        <v>38</v>
      </c>
      <c r="Q45" s="32" t="s">
        <v>39</v>
      </c>
      <c r="R45" s="32" t="s">
        <v>40</v>
      </c>
      <c r="S45" s="32" t="s">
        <v>41</v>
      </c>
      <c r="T45" s="32" t="s">
        <v>42</v>
      </c>
      <c r="U45" s="32" t="s">
        <v>43</v>
      </c>
      <c r="V45" s="32"/>
      <c r="W45" s="32" t="s">
        <v>44</v>
      </c>
      <c r="X45" s="32" t="s">
        <v>45</v>
      </c>
      <c r="Y45" s="32" t="s">
        <v>46</v>
      </c>
      <c r="Z45" s="31"/>
      <c r="AA45" s="31"/>
      <c r="AB45" s="7"/>
      <c r="AC45" s="7"/>
      <c r="AD45" s="7"/>
    </row>
    <row r="46" spans="1:43" ht="13.5" customHeight="1" x14ac:dyDescent="0.15">
      <c r="A46" s="7"/>
      <c r="B46" s="7"/>
      <c r="C46" s="7"/>
      <c r="D46" s="33" t="s">
        <v>47</v>
      </c>
      <c r="E46" s="34">
        <v>5017</v>
      </c>
      <c r="F46" s="34">
        <v>203</v>
      </c>
      <c r="G46" s="34">
        <v>273</v>
      </c>
      <c r="H46" s="34">
        <v>348</v>
      </c>
      <c r="I46" s="34">
        <v>331</v>
      </c>
      <c r="J46" s="34">
        <v>348</v>
      </c>
      <c r="K46" s="34">
        <v>357</v>
      </c>
      <c r="L46" s="34">
        <v>344</v>
      </c>
      <c r="M46" s="34">
        <v>317</v>
      </c>
      <c r="N46" s="34">
        <v>272</v>
      </c>
      <c r="O46" s="34">
        <v>304</v>
      </c>
      <c r="P46" s="34">
        <v>217</v>
      </c>
      <c r="Q46" s="34">
        <v>203</v>
      </c>
      <c r="R46" s="34">
        <v>229</v>
      </c>
      <c r="S46" s="34">
        <v>223</v>
      </c>
      <c r="T46" s="34">
        <v>282</v>
      </c>
      <c r="U46" s="34">
        <v>223</v>
      </c>
      <c r="V46" s="34"/>
      <c r="W46" s="34">
        <v>203</v>
      </c>
      <c r="X46" s="34">
        <v>211</v>
      </c>
      <c r="Y46" s="34">
        <v>129</v>
      </c>
      <c r="Z46" s="31"/>
      <c r="AA46" s="31"/>
      <c r="AB46" s="7"/>
      <c r="AC46" s="7"/>
      <c r="AD46" s="7"/>
    </row>
    <row r="47" spans="1:43" ht="13.5" customHeight="1" x14ac:dyDescent="0.15">
      <c r="A47" s="7"/>
      <c r="B47" s="7"/>
      <c r="C47" s="7"/>
      <c r="D47" s="33" t="s">
        <v>48</v>
      </c>
      <c r="E47" s="34">
        <v>1472</v>
      </c>
      <c r="F47" s="34">
        <v>64</v>
      </c>
      <c r="G47" s="34">
        <v>87</v>
      </c>
      <c r="H47" s="34">
        <v>99</v>
      </c>
      <c r="I47" s="34">
        <v>75</v>
      </c>
      <c r="J47" s="34">
        <v>93</v>
      </c>
      <c r="K47" s="34">
        <v>109</v>
      </c>
      <c r="L47" s="34">
        <v>127</v>
      </c>
      <c r="M47" s="34">
        <v>62</v>
      </c>
      <c r="N47" s="34">
        <v>70</v>
      </c>
      <c r="O47" s="34">
        <v>47</v>
      </c>
      <c r="P47" s="34">
        <v>67</v>
      </c>
      <c r="Q47" s="34">
        <v>49</v>
      </c>
      <c r="R47" s="34">
        <v>50</v>
      </c>
      <c r="S47" s="34">
        <v>91</v>
      </c>
      <c r="T47" s="34">
        <v>79</v>
      </c>
      <c r="U47" s="34">
        <v>94</v>
      </c>
      <c r="V47" s="34"/>
      <c r="W47" s="34">
        <v>80</v>
      </c>
      <c r="X47" s="34">
        <v>88</v>
      </c>
      <c r="Y47" s="34">
        <v>41</v>
      </c>
      <c r="Z47" s="31"/>
      <c r="AA47" s="31"/>
      <c r="AB47" s="7"/>
      <c r="AC47" s="7"/>
      <c r="AD47" s="7"/>
    </row>
    <row r="48" spans="1:43" ht="13.5" customHeight="1" x14ac:dyDescent="0.15">
      <c r="A48" s="7"/>
      <c r="B48" s="7"/>
      <c r="C48" s="7"/>
      <c r="D48" s="33" t="s">
        <v>49</v>
      </c>
      <c r="E48" s="34">
        <v>803</v>
      </c>
      <c r="F48" s="34">
        <v>33</v>
      </c>
      <c r="G48" s="34">
        <v>32</v>
      </c>
      <c r="H48" s="34">
        <v>35</v>
      </c>
      <c r="I48" s="34">
        <v>48</v>
      </c>
      <c r="J48" s="34">
        <v>41</v>
      </c>
      <c r="K48" s="34">
        <v>41</v>
      </c>
      <c r="L48" s="34">
        <v>35</v>
      </c>
      <c r="M48" s="34">
        <v>31</v>
      </c>
      <c r="N48" s="34">
        <v>46</v>
      </c>
      <c r="O48" s="34">
        <v>45</v>
      </c>
      <c r="P48" s="34">
        <v>35</v>
      </c>
      <c r="Q48" s="34">
        <v>45</v>
      </c>
      <c r="R48" s="34">
        <v>39</v>
      </c>
      <c r="S48" s="34">
        <v>37</v>
      </c>
      <c r="T48" s="34">
        <v>48</v>
      </c>
      <c r="U48" s="34">
        <v>52</v>
      </c>
      <c r="V48" s="34"/>
      <c r="W48" s="34">
        <v>54</v>
      </c>
      <c r="X48" s="34">
        <v>57</v>
      </c>
      <c r="Y48" s="34">
        <v>49</v>
      </c>
      <c r="Z48" s="31"/>
      <c r="AA48" s="31"/>
      <c r="AB48" s="7"/>
      <c r="AC48" s="7"/>
      <c r="AD48" s="7"/>
    </row>
    <row r="49" spans="1:30" ht="13.5" customHeight="1" x14ac:dyDescent="0.15">
      <c r="A49" s="7"/>
      <c r="B49" s="7"/>
      <c r="C49" s="7"/>
      <c r="D49" s="33" t="s">
        <v>50</v>
      </c>
      <c r="E49" s="34">
        <v>356</v>
      </c>
      <c r="F49" s="5"/>
      <c r="G49" s="34">
        <v>1</v>
      </c>
      <c r="H49" s="34">
        <v>2</v>
      </c>
      <c r="I49" s="34">
        <v>4</v>
      </c>
      <c r="J49" s="5"/>
      <c r="K49" s="34">
        <v>4</v>
      </c>
      <c r="L49" s="5"/>
      <c r="M49" s="34">
        <v>2</v>
      </c>
      <c r="N49" s="34">
        <v>4</v>
      </c>
      <c r="O49" s="34">
        <v>11</v>
      </c>
      <c r="P49" s="34">
        <v>19</v>
      </c>
      <c r="Q49" s="34">
        <v>15</v>
      </c>
      <c r="R49" s="34">
        <v>34</v>
      </c>
      <c r="S49" s="34">
        <v>47</v>
      </c>
      <c r="T49" s="34">
        <v>46</v>
      </c>
      <c r="U49" s="34">
        <v>26</v>
      </c>
      <c r="V49" s="34"/>
      <c r="W49" s="34">
        <v>37</v>
      </c>
      <c r="X49" s="34">
        <v>47</v>
      </c>
      <c r="Y49" s="34">
        <v>57</v>
      </c>
      <c r="Z49" s="31"/>
      <c r="AA49" s="31"/>
      <c r="AB49" s="7"/>
      <c r="AC49" s="7"/>
      <c r="AD49" s="7"/>
    </row>
    <row r="50" spans="1:30" ht="13.5" customHeight="1" x14ac:dyDescent="0.15">
      <c r="A50" s="7"/>
      <c r="B50" s="7"/>
      <c r="C50" s="7"/>
      <c r="D50" s="33" t="s">
        <v>51</v>
      </c>
      <c r="E50" s="34">
        <v>1188</v>
      </c>
      <c r="F50" s="34">
        <v>7</v>
      </c>
      <c r="G50" s="34">
        <v>2</v>
      </c>
      <c r="H50" s="34">
        <v>14</v>
      </c>
      <c r="I50" s="34">
        <v>20</v>
      </c>
      <c r="J50" s="34">
        <v>20</v>
      </c>
      <c r="K50" s="34">
        <v>43</v>
      </c>
      <c r="L50" s="34">
        <v>101</v>
      </c>
      <c r="M50" s="34">
        <v>88</v>
      </c>
      <c r="N50" s="34">
        <v>86</v>
      </c>
      <c r="O50" s="34">
        <v>103</v>
      </c>
      <c r="P50" s="34">
        <v>80</v>
      </c>
      <c r="Q50" s="34">
        <v>96</v>
      </c>
      <c r="R50" s="34">
        <v>60</v>
      </c>
      <c r="S50" s="34">
        <v>97</v>
      </c>
      <c r="T50" s="34">
        <v>102</v>
      </c>
      <c r="U50" s="34">
        <v>84</v>
      </c>
      <c r="V50" s="34"/>
      <c r="W50" s="34">
        <v>90</v>
      </c>
      <c r="X50" s="34">
        <v>67</v>
      </c>
      <c r="Y50" s="34">
        <v>28</v>
      </c>
      <c r="Z50" s="31"/>
      <c r="AA50" s="31"/>
      <c r="AB50" s="7"/>
      <c r="AC50" s="7"/>
      <c r="AD50" s="7"/>
    </row>
    <row r="51" spans="1:30" ht="13.5" customHeight="1" x14ac:dyDescent="0.15">
      <c r="A51" s="7"/>
      <c r="B51" s="7"/>
      <c r="C51" s="7"/>
      <c r="D51" s="33" t="s">
        <v>52</v>
      </c>
      <c r="E51" s="34">
        <v>817</v>
      </c>
      <c r="F51" s="34">
        <v>7</v>
      </c>
      <c r="G51" s="34">
        <v>11</v>
      </c>
      <c r="H51" s="34">
        <v>22</v>
      </c>
      <c r="I51" s="34">
        <v>14</v>
      </c>
      <c r="J51" s="34">
        <v>33</v>
      </c>
      <c r="K51" s="34">
        <v>49</v>
      </c>
      <c r="L51" s="34">
        <v>45</v>
      </c>
      <c r="M51" s="34">
        <v>74</v>
      </c>
      <c r="N51" s="34">
        <v>114</v>
      </c>
      <c r="O51" s="34">
        <v>61</v>
      </c>
      <c r="P51" s="34">
        <v>45</v>
      </c>
      <c r="Q51" s="34">
        <v>61</v>
      </c>
      <c r="R51" s="34">
        <v>39</v>
      </c>
      <c r="S51" s="34">
        <v>43</v>
      </c>
      <c r="T51" s="34">
        <v>33</v>
      </c>
      <c r="U51" s="34">
        <v>64</v>
      </c>
      <c r="V51" s="34"/>
      <c r="W51" s="34">
        <v>51</v>
      </c>
      <c r="X51" s="34">
        <v>34</v>
      </c>
      <c r="Y51" s="34">
        <v>17</v>
      </c>
      <c r="Z51" s="31"/>
      <c r="AA51" s="31"/>
      <c r="AB51" s="7"/>
      <c r="AC51" s="7"/>
      <c r="AD51" s="7"/>
    </row>
    <row r="52" spans="1:30" ht="13.5" customHeight="1" x14ac:dyDescent="0.15">
      <c r="A52" s="7"/>
      <c r="B52" s="7"/>
      <c r="D52" s="33" t="s">
        <v>53</v>
      </c>
      <c r="E52" s="34">
        <v>132</v>
      </c>
      <c r="F52" s="5"/>
      <c r="G52" s="34">
        <v>5</v>
      </c>
      <c r="H52" s="34">
        <v>5</v>
      </c>
      <c r="I52" s="34">
        <v>2</v>
      </c>
      <c r="J52" s="34">
        <v>10</v>
      </c>
      <c r="K52" s="34">
        <v>7</v>
      </c>
      <c r="L52" s="34">
        <v>10</v>
      </c>
      <c r="M52" s="34">
        <v>7</v>
      </c>
      <c r="N52" s="34">
        <v>13</v>
      </c>
      <c r="O52" s="34">
        <v>2</v>
      </c>
      <c r="P52" s="34">
        <v>2</v>
      </c>
      <c r="Q52" s="34">
        <v>16</v>
      </c>
      <c r="R52" s="34">
        <v>12</v>
      </c>
      <c r="S52" s="34">
        <v>3</v>
      </c>
      <c r="T52" s="34">
        <v>5</v>
      </c>
      <c r="U52" s="34">
        <v>11</v>
      </c>
      <c r="V52" s="34"/>
      <c r="W52" s="34">
        <v>12</v>
      </c>
      <c r="X52" s="34">
        <v>9</v>
      </c>
      <c r="Y52" s="34">
        <v>1</v>
      </c>
    </row>
    <row r="53" spans="1:30" ht="13.5" customHeight="1" x14ac:dyDescent="0.15"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30" ht="13.5" customHeight="1" x14ac:dyDescent="0.15"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30" ht="13.5" customHeight="1" x14ac:dyDescent="0.15"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30" ht="13.5" customHeight="1" x14ac:dyDescent="0.15"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30" ht="13.5" customHeight="1" x14ac:dyDescent="0.15"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30" ht="13.5" customHeight="1" x14ac:dyDescent="0.15"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30" ht="13.5" customHeight="1" x14ac:dyDescent="0.15"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30" ht="13.5" customHeight="1" x14ac:dyDescent="0.15"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30" ht="13.5" customHeight="1" x14ac:dyDescent="0.15"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30" ht="13.5" customHeight="1" x14ac:dyDescent="0.15"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30" ht="13.5" customHeight="1" x14ac:dyDescent="0.15"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30" ht="13.5" customHeight="1" x14ac:dyDescent="0.15"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4:27" ht="13.5" customHeight="1" x14ac:dyDescent="0.15"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4:27" ht="13.5" customHeight="1" x14ac:dyDescent="0.15"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4:27" ht="13.5" customHeight="1" x14ac:dyDescent="0.15"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4:27" ht="13.5" customHeight="1" x14ac:dyDescent="0.15"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4:27" ht="13.5" customHeight="1" x14ac:dyDescent="0.15"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W69" s="31"/>
      <c r="X69" s="31"/>
      <c r="Y69" s="31"/>
      <c r="Z69" s="31"/>
      <c r="AA69" s="31"/>
    </row>
    <row r="70" spans="4:27" ht="13.5" customHeight="1" x14ac:dyDescent="0.15"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W70" s="31"/>
      <c r="X70" s="31"/>
      <c r="Y70" s="31"/>
      <c r="Z70" s="31"/>
      <c r="AA70" s="31"/>
    </row>
  </sheetData>
  <mergeCells count="1">
    <mergeCell ref="AF26:AM35"/>
  </mergeCells>
  <phoneticPr fontId="4"/>
  <pageMargins left="0.52" right="0.45" top="1" bottom="1" header="0.5" footer="0.5"/>
  <pageSetup paperSize="9" scale="4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2020-08-17T05:49:28Z</dcterms:created>
  <dcterms:modified xsi:type="dcterms:W3CDTF">2020-08-18T02:14:10Z</dcterms:modified>
</cp:coreProperties>
</file>