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5ADED384-DF6F-4BDC-8DA1-FF11F2458ED9}" xr6:coauthVersionLast="47" xr6:coauthVersionMax="47" xr10:uidLastSave="{00000000-0000-0000-0000-000000000000}"/>
  <workbookProtection workbookAlgorithmName="SHA-512" workbookHashValue="F+iBHUoYy4Ye6GL6pPIxhd9xlHAGzlHpsoDjkjLVIc7RwpSImUSQAwy+65Q5of3eb+Vi1aO3SK18yCppkLFFBQ==" workbookSaltValue="cPf4J3wjn61RYrFt5nxlSA==" workbookSpinCount="100000" lockStructure="1"/>
  <bookViews>
    <workbookView xWindow="-22170" yWindow="-21720" windowWidth="38640" windowHeight="21120" tabRatio="775" xr2:uid="{00000000-000D-0000-FFFF-FFFF00000000}"/>
  </bookViews>
  <sheets>
    <sheet name="出願人要件等入力" sheetId="5" r:id="rId1"/>
    <sheet name="インターネット出願ソフト料金表" sheetId="13" r:id="rId2"/>
    <sheet name="書面による手続" sheetId="14" r:id="rId3"/>
    <sheet name="軽減・支援措置の手数料計算方法" sheetId="15" r:id="rId4"/>
    <sheet name="料金テーブル表" sheetId="12" state="hidden" r:id="rId5"/>
    <sheet name="要件" sheetId="6" state="hidden" r:id="rId6"/>
  </sheets>
  <definedNames>
    <definedName name="_xlnm.Print_Area" localSheetId="3">軽減・支援措置の手数料計算方法!$A$1:$V$86</definedName>
    <definedName name="_xlnm.Print_Area" localSheetId="2">書面による手続!$A$1:$AB$47</definedName>
    <definedName name="出願人要件等入力欄">出願人要件等入力!$D$36:$F$45,出願人要件等入力!$H$36:$J$45,出願人要件等入力!$K$36:$T$45,出願人要件等入力!$A$29:$J$29,出願人要件等入力!$K$29:$T$29</definedName>
    <definedName name="料金テーブル">料金テーブル表!$A$5:$K$25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5" l="1"/>
  <c r="C9" i="15"/>
  <c r="N11" i="6"/>
  <c r="K20" i="6"/>
  <c r="L12" i="6"/>
  <c r="L11" i="6"/>
  <c r="L6" i="6"/>
  <c r="M12" i="6"/>
  <c r="R12" i="6"/>
  <c r="K22" i="6"/>
  <c r="H15" i="15" s="1"/>
  <c r="K21" i="6"/>
  <c r="H14" i="15" s="1"/>
  <c r="K18" i="6"/>
  <c r="F11" i="15" s="1"/>
  <c r="K17" i="6"/>
  <c r="F10" i="15" s="1"/>
  <c r="D25" i="15" l="1"/>
  <c r="D81" i="15"/>
  <c r="D60" i="15"/>
  <c r="D79" i="15"/>
  <c r="D73" i="15"/>
  <c r="D61" i="15"/>
  <c r="D62" i="15"/>
  <c r="D68" i="15"/>
  <c r="D67" i="15"/>
  <c r="D69" i="15"/>
  <c r="D74" i="15"/>
  <c r="D54" i="15"/>
  <c r="D75" i="15"/>
  <c r="D55" i="15"/>
  <c r="D80" i="15"/>
  <c r="D56" i="15"/>
  <c r="B44" i="15"/>
  <c r="D85" i="15"/>
  <c r="G57" i="15"/>
  <c r="G63" i="15"/>
  <c r="D21" i="15"/>
  <c r="D18" i="15"/>
  <c r="G82" i="15"/>
  <c r="D28" i="15"/>
  <c r="D31" i="15"/>
  <c r="I18" i="15"/>
  <c r="I21" i="15"/>
  <c r="G76" i="15"/>
  <c r="K85" i="15"/>
  <c r="I25" i="15"/>
  <c r="G70" i="15"/>
  <c r="I28" i="15"/>
  <c r="I31" i="15"/>
  <c r="D34" i="15"/>
  <c r="K34" i="15"/>
  <c r="H13" i="15"/>
  <c r="B8" i="15"/>
  <c r="D57" i="15"/>
  <c r="D76" i="15"/>
  <c r="D63" i="15"/>
  <c r="D82" i="15"/>
  <c r="D70" i="15"/>
  <c r="F48" i="15"/>
  <c r="H49" i="15"/>
  <c r="H50" i="15"/>
  <c r="H51" i="15"/>
  <c r="F46" i="15"/>
  <c r="F47" i="15"/>
  <c r="F12" i="15"/>
  <c r="N13" i="6" l="1"/>
  <c r="N12" i="6"/>
  <c r="N7" i="6"/>
  <c r="N6" i="6"/>
  <c r="N3" i="6"/>
  <c r="C7" i="6"/>
  <c r="C6" i="6"/>
  <c r="R11" i="6" l="1"/>
  <c r="D36" i="14"/>
  <c r="A7" i="14" l="1"/>
  <c r="AX45" i="5"/>
  <c r="AW45" i="5"/>
  <c r="AV45" i="5"/>
  <c r="AU45" i="5"/>
  <c r="AT45" i="5"/>
  <c r="AS45" i="5"/>
  <c r="AR45" i="5"/>
  <c r="AQ45" i="5"/>
  <c r="AX44" i="5"/>
  <c r="AW44" i="5"/>
  <c r="AV44" i="5"/>
  <c r="AU44" i="5"/>
  <c r="AT44" i="5"/>
  <c r="AS44" i="5"/>
  <c r="AR44" i="5"/>
  <c r="AQ44" i="5"/>
  <c r="AX43" i="5"/>
  <c r="AW43" i="5"/>
  <c r="AV43" i="5"/>
  <c r="AU43" i="5"/>
  <c r="AT43" i="5"/>
  <c r="AS43" i="5"/>
  <c r="AR43" i="5"/>
  <c r="AQ43" i="5"/>
  <c r="AX42" i="5"/>
  <c r="AW42" i="5"/>
  <c r="AV42" i="5"/>
  <c r="AU42" i="5"/>
  <c r="AT42" i="5"/>
  <c r="AS42" i="5"/>
  <c r="AR42" i="5"/>
  <c r="AQ42" i="5"/>
  <c r="AX41" i="5"/>
  <c r="AW41" i="5"/>
  <c r="AV41" i="5"/>
  <c r="AU41" i="5"/>
  <c r="AT41" i="5"/>
  <c r="AS41" i="5"/>
  <c r="AR41" i="5"/>
  <c r="AQ41" i="5"/>
  <c r="AX40" i="5"/>
  <c r="AW40" i="5"/>
  <c r="AV40" i="5"/>
  <c r="AU40" i="5"/>
  <c r="AT40" i="5"/>
  <c r="AS40" i="5"/>
  <c r="AR40" i="5"/>
  <c r="AQ40" i="5"/>
  <c r="AX39" i="5"/>
  <c r="AW39" i="5"/>
  <c r="AV39" i="5"/>
  <c r="AU39" i="5"/>
  <c r="AT39" i="5"/>
  <c r="AS39" i="5"/>
  <c r="AR39" i="5"/>
  <c r="AQ39" i="5"/>
  <c r="L17" i="14" l="1"/>
  <c r="D21" i="14" l="1"/>
  <c r="B2" i="12" l="1"/>
  <c r="AS1" i="5" s="1"/>
  <c r="W1" i="5" s="1"/>
  <c r="B5" i="14" l="1"/>
  <c r="AS6" i="5"/>
  <c r="D14" i="13" s="1"/>
  <c r="AS8" i="5"/>
  <c r="AS4" i="5"/>
  <c r="AS10" i="5"/>
  <c r="AS11" i="5"/>
  <c r="D11" i="13" s="1"/>
  <c r="A5" i="13"/>
  <c r="AS5" i="5"/>
  <c r="AS12" i="5"/>
  <c r="D12" i="13" s="1"/>
  <c r="AS7" i="5"/>
  <c r="D15" i="13" s="1"/>
  <c r="AS3" i="5"/>
  <c r="AS9" i="5"/>
  <c r="G56" i="5"/>
  <c r="Q56" i="5"/>
  <c r="G49" i="5"/>
  <c r="Q49" i="5"/>
  <c r="AA49" i="5"/>
  <c r="AA56" i="5" l="1"/>
  <c r="D17" i="13"/>
  <c r="D16" i="13"/>
  <c r="AK49" i="5"/>
  <c r="D9" i="13"/>
  <c r="D13" i="13"/>
  <c r="D10" i="13"/>
  <c r="Z40" i="5"/>
  <c r="Z41" i="5"/>
  <c r="Z42" i="5"/>
  <c r="Z43" i="5"/>
  <c r="Z44" i="5"/>
  <c r="Z45" i="5"/>
  <c r="Z36" i="5"/>
  <c r="Z37" i="5" s="1"/>
  <c r="Z38" i="5" s="1"/>
  <c r="Z39" i="5" s="1"/>
  <c r="U37" i="5"/>
  <c r="U38" i="5"/>
  <c r="U39" i="5"/>
  <c r="U40" i="5"/>
  <c r="U41" i="5"/>
  <c r="U42" i="5"/>
  <c r="U43" i="5"/>
  <c r="U44" i="5"/>
  <c r="U45" i="5"/>
  <c r="U36" i="5"/>
  <c r="AS38" i="5"/>
  <c r="AV38" i="5"/>
  <c r="AQ38" i="5"/>
  <c r="AW38" i="5"/>
  <c r="AT38" i="5"/>
  <c r="AU38" i="5"/>
  <c r="AR38" i="5"/>
  <c r="AX38" i="5"/>
  <c r="AT37" i="5"/>
  <c r="AV37" i="5"/>
  <c r="AR37" i="5"/>
  <c r="AS37" i="5"/>
  <c r="AX37" i="5"/>
  <c r="AQ37" i="5"/>
  <c r="AU37" i="5"/>
  <c r="AW37" i="5"/>
  <c r="AR36" i="5"/>
  <c r="AU36" i="5"/>
  <c r="AQ36" i="5"/>
  <c r="AS36" i="5"/>
  <c r="AT36" i="5"/>
  <c r="AV36" i="5"/>
  <c r="AW36" i="5"/>
  <c r="AX36" i="5"/>
  <c r="R42" i="14" l="1"/>
  <c r="R40" i="14"/>
  <c r="J34" i="14"/>
  <c r="G51" i="5"/>
  <c r="J21" i="14"/>
  <c r="D28" i="13"/>
  <c r="Q55" i="5"/>
  <c r="D31" i="13" s="1"/>
  <c r="AA48" i="5"/>
  <c r="D27" i="13"/>
  <c r="O19" i="14"/>
  <c r="G55" i="5"/>
  <c r="D30" i="13" s="1"/>
  <c r="D29" i="13"/>
  <c r="AA55" i="5" l="1"/>
  <c r="R44" i="14" l="1"/>
  <c r="O21" i="14" l="1"/>
  <c r="R24" i="14" s="1"/>
  <c r="D25" i="13"/>
  <c r="D26" i="13"/>
  <c r="Q48" i="5"/>
  <c r="Q51" i="5" s="1"/>
  <c r="D24" i="13" l="1"/>
  <c r="R13" i="14"/>
  <c r="G48" i="5"/>
  <c r="AK48" i="5" s="1"/>
  <c r="R11" i="14" l="1"/>
  <c r="R28" i="14" s="1"/>
  <c r="D23" i="13"/>
</calcChain>
</file>

<file path=xl/sharedStrings.xml><?xml version="1.0" encoding="utf-8"?>
<sst xmlns="http://schemas.openxmlformats.org/spreadsheetml/2006/main" count="261" uniqueCount="181">
  <si>
    <t>/</t>
    <phoneticPr fontId="1"/>
  </si>
  <si>
    <t>＜使用方法＞</t>
    <phoneticPr fontId="1"/>
  </si>
  <si>
    <t>補足
説明</t>
    <phoneticPr fontId="1"/>
  </si>
  <si>
    <t>分子と分母を入力
％の場合、
分母を100で入力</t>
    <phoneticPr fontId="1"/>
  </si>
  <si>
    <t>セルの右側の▼を押して選択
対象外の者も含め全員入力</t>
    <phoneticPr fontId="1"/>
  </si>
  <si>
    <t>自動入力</t>
    <rPh sb="0" eb="2">
      <t>ジドウ</t>
    </rPh>
    <rPh sb="2" eb="4">
      <t>ニュウリョク</t>
    </rPh>
    <phoneticPr fontId="1"/>
  </si>
  <si>
    <t>持分累計の一番下の欄が「1」であることを確認してください</t>
    <rPh sb="0" eb="2">
      <t>モチブン</t>
    </rPh>
    <rPh sb="2" eb="4">
      <t>ルイケイ</t>
    </rPh>
    <rPh sb="5" eb="7">
      <t>イチバン</t>
    </rPh>
    <rPh sb="9" eb="10">
      <t>ラン</t>
    </rPh>
    <rPh sb="20" eb="22">
      <t>カクニン</t>
    </rPh>
    <phoneticPr fontId="1"/>
  </si>
  <si>
    <t>出願人</t>
    <phoneticPr fontId="1"/>
  </si>
  <si>
    <t>持分</t>
    <rPh sb="0" eb="2">
      <t>モチブン</t>
    </rPh>
    <phoneticPr fontId="1"/>
  </si>
  <si>
    <t>要件</t>
    <rPh sb="0" eb="2">
      <t>ヨウケン</t>
    </rPh>
    <phoneticPr fontId="1"/>
  </si>
  <si>
    <t>持分累計</t>
    <rPh sb="0" eb="2">
      <t>モチブン</t>
    </rPh>
    <rPh sb="2" eb="4">
      <t>ルイケイ</t>
    </rPh>
    <phoneticPr fontId="1"/>
  </si>
  <si>
    <t>分子</t>
    <rPh sb="0" eb="2">
      <t>ブンシ</t>
    </rPh>
    <phoneticPr fontId="1"/>
  </si>
  <si>
    <t>分母</t>
    <rPh sb="0" eb="2">
      <t>ブンボ</t>
    </rPh>
    <phoneticPr fontId="1"/>
  </si>
  <si>
    <t>/</t>
    <phoneticPr fontId="1"/>
  </si>
  <si>
    <t>/</t>
    <phoneticPr fontId="1"/>
  </si>
  <si>
    <t>/</t>
    <phoneticPr fontId="1"/>
  </si>
  <si>
    <t>※本シートは他のシートで参照しているため、消去しないでください</t>
    <rPh sb="1" eb="2">
      <t>ホン</t>
    </rPh>
    <rPh sb="6" eb="7">
      <t>タ</t>
    </rPh>
    <rPh sb="12" eb="14">
      <t>サンショウ</t>
    </rPh>
    <rPh sb="21" eb="23">
      <t>ショウキョ</t>
    </rPh>
    <phoneticPr fontId="4"/>
  </si>
  <si>
    <t>要件</t>
    <rPh sb="0" eb="2">
      <t>ヨウケン</t>
    </rPh>
    <phoneticPr fontId="4"/>
  </si>
  <si>
    <t>第４号　小規模企業</t>
    <rPh sb="0" eb="1">
      <t>ダイ</t>
    </rPh>
    <rPh sb="2" eb="3">
      <t>ゴウ</t>
    </rPh>
    <rPh sb="4" eb="7">
      <t>ショウキボ</t>
    </rPh>
    <rPh sb="7" eb="9">
      <t>キギョウ</t>
    </rPh>
    <phoneticPr fontId="4"/>
  </si>
  <si>
    <t>対象外</t>
    <rPh sb="0" eb="3">
      <t>タイショウガイ</t>
    </rPh>
    <phoneticPr fontId="4"/>
  </si>
  <si>
    <t>軽減割合
（負担割合）</t>
    <rPh sb="0" eb="2">
      <t>ケイゲン</t>
    </rPh>
    <rPh sb="2" eb="4">
      <t>ワリアイ</t>
    </rPh>
    <rPh sb="6" eb="8">
      <t>フタン</t>
    </rPh>
    <rPh sb="8" eb="10">
      <t>ワリアイ</t>
    </rPh>
    <phoneticPr fontId="1"/>
  </si>
  <si>
    <t>送付手数料</t>
    <rPh sb="0" eb="2">
      <t>ソウフ</t>
    </rPh>
    <rPh sb="2" eb="5">
      <t>テスウリョウ</t>
    </rPh>
    <phoneticPr fontId="1"/>
  </si>
  <si>
    <t>調査手数料</t>
    <rPh sb="0" eb="2">
      <t>チョウサ</t>
    </rPh>
    <rPh sb="2" eb="5">
      <t>テスウリョウ</t>
    </rPh>
    <phoneticPr fontId="1"/>
  </si>
  <si>
    <t>送付
手数料</t>
    <rPh sb="0" eb="2">
      <t>ソウフ</t>
    </rPh>
    <rPh sb="3" eb="6">
      <t>テスウリョウ</t>
    </rPh>
    <phoneticPr fontId="1"/>
  </si>
  <si>
    <t>調査
手数料</t>
    <rPh sb="0" eb="2">
      <t>チョウサ</t>
    </rPh>
    <rPh sb="3" eb="6">
      <t>テスウリョウ</t>
    </rPh>
    <phoneticPr fontId="1"/>
  </si>
  <si>
    <t>調査手数料
一部返還額</t>
    <rPh sb="0" eb="2">
      <t>チョウサ</t>
    </rPh>
    <rPh sb="2" eb="5">
      <t>テスウリョウ</t>
    </rPh>
    <rPh sb="6" eb="8">
      <t>イチブ</t>
    </rPh>
    <rPh sb="8" eb="10">
      <t>ヘンカン</t>
    </rPh>
    <rPh sb="10" eb="11">
      <t>ガク</t>
    </rPh>
    <phoneticPr fontId="1"/>
  </si>
  <si>
    <t>調査手数料一部返還</t>
    <rPh sb="0" eb="2">
      <t>チョウサ</t>
    </rPh>
    <rPh sb="2" eb="5">
      <t>テスウリョウ</t>
    </rPh>
    <rPh sb="5" eb="7">
      <t>イチブ</t>
    </rPh>
    <rPh sb="7" eb="9">
      <t>ヘンカン</t>
    </rPh>
    <phoneticPr fontId="1"/>
  </si>
  <si>
    <t>適用日</t>
    <rPh sb="0" eb="2">
      <t>テキヨウ</t>
    </rPh>
    <rPh sb="2" eb="3">
      <t>ビ</t>
    </rPh>
    <phoneticPr fontId="1"/>
  </si>
  <si>
    <t>Yes</t>
    <phoneticPr fontId="1"/>
  </si>
  <si>
    <t>No</t>
    <phoneticPr fontId="1"/>
  </si>
  <si>
    <t>国際出願手数料</t>
    <rPh sb="0" eb="2">
      <t>コクサイ</t>
    </rPh>
    <rPh sb="2" eb="4">
      <t>シュツガン</t>
    </rPh>
    <rPh sb="4" eb="7">
      <t>テスウリョウ</t>
    </rPh>
    <phoneticPr fontId="1"/>
  </si>
  <si>
    <t>調査手数料
一部返還</t>
    <phoneticPr fontId="1"/>
  </si>
  <si>
    <t>国際出願手数料（30枚まで）</t>
    <rPh sb="0" eb="2">
      <t>コクサイ</t>
    </rPh>
    <rPh sb="2" eb="4">
      <t>シュツガン</t>
    </rPh>
    <rPh sb="4" eb="7">
      <t>テスウリョウ</t>
    </rPh>
    <rPh sb="10" eb="11">
      <t>マイ</t>
    </rPh>
    <phoneticPr fontId="1"/>
  </si>
  <si>
    <t>（30枚を超える1枚）</t>
    <rPh sb="3" eb="4">
      <t>マイ</t>
    </rPh>
    <rPh sb="5" eb="6">
      <t>コ</t>
    </rPh>
    <rPh sb="9" eb="10">
      <t>マイ</t>
    </rPh>
    <phoneticPr fontId="1"/>
  </si>
  <si>
    <t>オンライン減額</t>
    <rPh sb="5" eb="7">
      <t>ゲンガク</t>
    </rPh>
    <phoneticPr fontId="1"/>
  </si>
  <si>
    <t>書類</t>
    <rPh sb="0" eb="2">
      <t>ショルイ</t>
    </rPh>
    <phoneticPr fontId="1"/>
  </si>
  <si>
    <t>手数料の種類</t>
    <rPh sb="0" eb="3">
      <t>テスウリョウ</t>
    </rPh>
    <rPh sb="4" eb="6">
      <t>シュルイ</t>
    </rPh>
    <phoneticPr fontId="1"/>
  </si>
  <si>
    <t>金額(日本円)</t>
    <rPh sb="0" eb="2">
      <t>キンガク</t>
    </rPh>
    <rPh sb="3" eb="6">
      <t>ニホンエン</t>
    </rPh>
    <phoneticPr fontId="1"/>
  </si>
  <si>
    <t>国際出願願書</t>
    <rPh sb="0" eb="2">
      <t>コクサイ</t>
    </rPh>
    <rPh sb="2" eb="4">
      <t>シュツガン</t>
    </rPh>
    <rPh sb="4" eb="6">
      <t>ガンショ</t>
    </rPh>
    <phoneticPr fontId="1"/>
  </si>
  <si>
    <t>送付手数料</t>
  </si>
  <si>
    <t>調査手数料：日本国特許庁が国際調査を行う日本語の国際出願１件につき</t>
  </si>
  <si>
    <t>調査手数料：日本国特許庁が国際調査を行う英語の国際出願１件につき</t>
  </si>
  <si>
    <t>調査手数料：欧州特許庁が国際調査を行う英語の国際出願１件につき</t>
  </si>
  <si>
    <t>国際出願手数料：国際出願の用紙の枚数が３０枚まで</t>
  </si>
  <si>
    <t>国際出願手数料：３０枚を超える用紙１枚につき</t>
  </si>
  <si>
    <t>国際出願手数料からの減額：オンラインで国際出願</t>
    <phoneticPr fontId="1"/>
  </si>
  <si>
    <t>－</t>
    <phoneticPr fontId="1"/>
  </si>
  <si>
    <t>国際予備審査請求書</t>
    <rPh sb="0" eb="2">
      <t>コクサイ</t>
    </rPh>
    <rPh sb="2" eb="4">
      <t>ヨビ</t>
    </rPh>
    <rPh sb="4" eb="6">
      <t>シンサ</t>
    </rPh>
    <rPh sb="6" eb="9">
      <t>セイキュウショ</t>
    </rPh>
    <phoneticPr fontId="1"/>
  </si>
  <si>
    <t>予備審査手数料</t>
  </si>
  <si>
    <t>取扱手数料</t>
  </si>
  <si>
    <t xml:space="preserve">オンライン出願 </t>
    <phoneticPr fontId="1"/>
  </si>
  <si>
    <t>最新適用日：</t>
    <rPh sb="0" eb="2">
      <t>サイシン</t>
    </rPh>
    <rPh sb="2" eb="4">
      <t>テキヨウ</t>
    </rPh>
    <rPh sb="4" eb="5">
      <t>ビ</t>
    </rPh>
    <phoneticPr fontId="1"/>
  </si>
  <si>
    <t>国際出願に含まれる用紙の枚数</t>
    <rPh sb="0" eb="2">
      <t>コクサイ</t>
    </rPh>
    <rPh sb="2" eb="4">
      <t>シュツガン</t>
    </rPh>
    <rPh sb="5" eb="6">
      <t>フク</t>
    </rPh>
    <rPh sb="9" eb="11">
      <t>ヨウシ</t>
    </rPh>
    <rPh sb="12" eb="14">
      <t>マイスウ</t>
    </rPh>
    <phoneticPr fontId="1"/>
  </si>
  <si>
    <t>最初の30枚まで</t>
    <rPh sb="0" eb="2">
      <t>サイショ</t>
    </rPh>
    <rPh sb="5" eb="6">
      <t>マイ</t>
    </rPh>
    <phoneticPr fontId="1"/>
  </si>
  <si>
    <t>送付手数料</t>
    <phoneticPr fontId="1"/>
  </si>
  <si>
    <t>調査手数料</t>
    <phoneticPr fontId="1"/>
  </si>
  <si>
    <t>2.</t>
    <phoneticPr fontId="1"/>
  </si>
  <si>
    <t>1.</t>
    <phoneticPr fontId="1"/>
  </si>
  <si>
    <t>国際出願手数料</t>
    <phoneticPr fontId="1"/>
  </si>
  <si>
    <t>3.</t>
    <phoneticPr fontId="1"/>
  </si>
  <si>
    <t>30枚を超える用紙の枚数</t>
    <rPh sb="2" eb="3">
      <t>マイ</t>
    </rPh>
    <rPh sb="4" eb="5">
      <t>コ</t>
    </rPh>
    <rPh sb="7" eb="9">
      <t>ヨウシ</t>
    </rPh>
    <rPh sb="10" eb="11">
      <t>マイ</t>
    </rPh>
    <rPh sb="11" eb="12">
      <t>スウ</t>
    </rPh>
    <phoneticPr fontId="1"/>
  </si>
  <si>
    <t>用紙一枚の手数料</t>
    <rPh sb="0" eb="2">
      <t>ヨウシ</t>
    </rPh>
    <rPh sb="2" eb="3">
      <t>1</t>
    </rPh>
    <rPh sb="3" eb="4">
      <t>マイ</t>
    </rPh>
    <rPh sb="5" eb="8">
      <t>テスウリョウ</t>
    </rPh>
    <phoneticPr fontId="1"/>
  </si>
  <si>
    <t>＝</t>
    <phoneticPr fontId="1"/>
  </si>
  <si>
    <t>円</t>
    <rPh sb="0" eb="1">
      <t>エン</t>
    </rPh>
    <phoneticPr fontId="1"/>
  </si>
  <si>
    <t>i2</t>
    <phoneticPr fontId="1"/>
  </si>
  <si>
    <t>i1</t>
    <phoneticPr fontId="1"/>
  </si>
  <si>
    <t>枚</t>
    <rPh sb="0" eb="1">
      <t>マイ</t>
    </rPh>
    <phoneticPr fontId="1"/>
  </si>
  <si>
    <t>…</t>
    <phoneticPr fontId="1"/>
  </si>
  <si>
    <t>7.</t>
    <phoneticPr fontId="1"/>
  </si>
  <si>
    <t>i1及びi2に記入した金額加算し、合計額をIに記入</t>
    <rPh sb="2" eb="3">
      <t>オヨ</t>
    </rPh>
    <rPh sb="7" eb="9">
      <t>キニュウ</t>
    </rPh>
    <rPh sb="11" eb="13">
      <t>キンガク</t>
    </rPh>
    <rPh sb="13" eb="15">
      <t>カサン</t>
    </rPh>
    <rPh sb="17" eb="20">
      <t>ゴウケイガク</t>
    </rPh>
    <rPh sb="23" eb="25">
      <t>キニュウ</t>
    </rPh>
    <phoneticPr fontId="1"/>
  </si>
  <si>
    <t>Ｉ</t>
    <phoneticPr fontId="1"/>
  </si>
  <si>
    <t>S</t>
    <phoneticPr fontId="1"/>
  </si>
  <si>
    <t>T</t>
    <phoneticPr fontId="1"/>
  </si>
  <si>
    <t>合　　計</t>
    <rPh sb="0" eb="1">
      <t>アイ</t>
    </rPh>
    <rPh sb="3" eb="4">
      <t>ケイ</t>
    </rPh>
    <phoneticPr fontId="1"/>
  </si>
  <si>
    <t>×</t>
    <phoneticPr fontId="1"/>
  </si>
  <si>
    <t>予備審査手数料</t>
    <phoneticPr fontId="1"/>
  </si>
  <si>
    <t>１．</t>
    <phoneticPr fontId="1"/>
  </si>
  <si>
    <t>取扱手数料</t>
    <phoneticPr fontId="1"/>
  </si>
  <si>
    <t>2.</t>
    <phoneticPr fontId="1"/>
  </si>
  <si>
    <t>所定の手数料の合計</t>
    <phoneticPr fontId="1"/>
  </si>
  <si>
    <t>３．</t>
    <phoneticPr fontId="1"/>
  </si>
  <si>
    <t>P</t>
    <phoneticPr fontId="1"/>
  </si>
  <si>
    <t>H</t>
    <phoneticPr fontId="1"/>
  </si>
  <si>
    <t>返還請求金額</t>
    <rPh sb="0" eb="2">
      <t>ヘンカン</t>
    </rPh>
    <rPh sb="2" eb="4">
      <t>セイキュウ</t>
    </rPh>
    <rPh sb="4" eb="6">
      <t>キンガク</t>
    </rPh>
    <phoneticPr fontId="1"/>
  </si>
  <si>
    <t>国際出願に含まれる用紙の枚数</t>
    <phoneticPr fontId="1"/>
  </si>
  <si>
    <t>予備審査手数料</t>
    <rPh sb="0" eb="4">
      <t>ヨビシンサ</t>
    </rPh>
    <rPh sb="4" eb="7">
      <t>テスウリョウ</t>
    </rPh>
    <phoneticPr fontId="1"/>
  </si>
  <si>
    <t>取扱手数料</t>
    <rPh sb="0" eb="1">
      <t>ト</t>
    </rPh>
    <rPh sb="1" eb="2">
      <t>アツカ</t>
    </rPh>
    <rPh sb="2" eb="5">
      <t>テスウリョウ</t>
    </rPh>
    <phoneticPr fontId="1"/>
  </si>
  <si>
    <t>納付すべき手数料の合計</t>
    <phoneticPr fontId="1"/>
  </si>
  <si>
    <t>オンライン出願 (Yes/No)</t>
    <rPh sb="5" eb="7">
      <t>シュツガン</t>
    </rPh>
    <phoneticPr fontId="1"/>
  </si>
  <si>
    <t>※</t>
    <phoneticPr fontId="1"/>
  </si>
  <si>
    <t>調査手数料(ISA/JP)日本語</t>
    <rPh sb="0" eb="2">
      <t>チョウサ</t>
    </rPh>
    <rPh sb="2" eb="5">
      <t>テスウリョウ</t>
    </rPh>
    <rPh sb="13" eb="16">
      <t>ニホンゴ</t>
    </rPh>
    <phoneticPr fontId="1"/>
  </si>
  <si>
    <t>調査手数料(ISA/JP)英語</t>
    <rPh sb="0" eb="2">
      <t>チョウサ</t>
    </rPh>
    <rPh sb="2" eb="5">
      <t>テスウリョウ</t>
    </rPh>
    <rPh sb="13" eb="15">
      <t>エイゴ</t>
    </rPh>
    <phoneticPr fontId="1"/>
  </si>
  <si>
    <t>調査手数料(ISA/EP)英語</t>
    <rPh sb="0" eb="2">
      <t>チョウサ</t>
    </rPh>
    <rPh sb="2" eb="5">
      <t>テスウリョウ</t>
    </rPh>
    <rPh sb="13" eb="15">
      <t>エイゴ</t>
    </rPh>
    <phoneticPr fontId="1"/>
  </si>
  <si>
    <t>調査手数料一部返還額</t>
    <phoneticPr fontId="1"/>
  </si>
  <si>
    <t>適 用 日</t>
    <rPh sb="0" eb="1">
      <t>テキ</t>
    </rPh>
    <rPh sb="2" eb="3">
      <t>ヨウ</t>
    </rPh>
    <rPh sb="4" eb="5">
      <t>ビ</t>
    </rPh>
    <phoneticPr fontId="1"/>
  </si>
  <si>
    <t>◎調査手数料一部返還額</t>
    <phoneticPr fontId="1"/>
  </si>
  <si>
    <t>調査手数料
ISA/JP
日本語</t>
    <rPh sb="0" eb="2">
      <t>チョウサ</t>
    </rPh>
    <rPh sb="2" eb="5">
      <t>テスウリョウ</t>
    </rPh>
    <rPh sb="13" eb="16">
      <t>ニホンゴ</t>
    </rPh>
    <phoneticPr fontId="1"/>
  </si>
  <si>
    <t>調査手数料
ISA/JP
英語</t>
    <rPh sb="0" eb="2">
      <t>チョウサ</t>
    </rPh>
    <rPh sb="2" eb="5">
      <t>テスウリョウ</t>
    </rPh>
    <rPh sb="13" eb="15">
      <t>エイゴ</t>
    </rPh>
    <phoneticPr fontId="1"/>
  </si>
  <si>
    <t>調査手数料
ISA/EP
英語</t>
    <rPh sb="0" eb="2">
      <t>チョウサ</t>
    </rPh>
    <rPh sb="2" eb="5">
      <t>テスウリョウ</t>
    </rPh>
    <rPh sb="13" eb="15">
      <t>エイゴ</t>
    </rPh>
    <phoneticPr fontId="1"/>
  </si>
  <si>
    <r>
      <t xml:space="preserve">国際出願手数料
</t>
    </r>
    <r>
      <rPr>
        <sz val="7"/>
        <color theme="1"/>
        <rFont val="游ゴシック"/>
        <family val="3"/>
        <charset val="128"/>
        <scheme val="minor"/>
      </rPr>
      <t>30枚を超えての1枚</t>
    </r>
    <rPh sb="0" eb="2">
      <t>コクサイ</t>
    </rPh>
    <rPh sb="2" eb="4">
      <t>シュツガン</t>
    </rPh>
    <rPh sb="4" eb="7">
      <t>テスウリョウ</t>
    </rPh>
    <rPh sb="10" eb="11">
      <t>マイ</t>
    </rPh>
    <rPh sb="12" eb="13">
      <t>コ</t>
    </rPh>
    <rPh sb="17" eb="18">
      <t>マイ</t>
    </rPh>
    <phoneticPr fontId="1"/>
  </si>
  <si>
    <r>
      <t xml:space="preserve">国際出願手数料
</t>
    </r>
    <r>
      <rPr>
        <sz val="8"/>
        <color theme="1"/>
        <rFont val="游ゴシック"/>
        <family val="3"/>
        <charset val="128"/>
        <scheme val="minor"/>
      </rPr>
      <t>用紙が30枚まで</t>
    </r>
    <rPh sb="0" eb="2">
      <t>コクサイ</t>
    </rPh>
    <rPh sb="2" eb="4">
      <t>シュツガン</t>
    </rPh>
    <rPh sb="4" eb="7">
      <t>テスウリョウ</t>
    </rPh>
    <rPh sb="8" eb="10">
      <t>ヨウシ</t>
    </rPh>
    <rPh sb="13" eb="14">
      <t>マイ</t>
    </rPh>
    <phoneticPr fontId="1"/>
  </si>
  <si>
    <r>
      <t xml:space="preserve">国際出願手数料
</t>
    </r>
    <r>
      <rPr>
        <sz val="8"/>
        <color theme="1"/>
        <rFont val="游ゴシック"/>
        <family val="3"/>
        <charset val="128"/>
        <scheme val="minor"/>
      </rPr>
      <t>オンライン減額</t>
    </r>
    <rPh sb="0" eb="2">
      <t>コクサイ</t>
    </rPh>
    <rPh sb="2" eb="4">
      <t>シュツガン</t>
    </rPh>
    <rPh sb="4" eb="7">
      <t>テスウリョウ</t>
    </rPh>
    <rPh sb="13" eb="15">
      <t>ゲンガク</t>
    </rPh>
    <phoneticPr fontId="1"/>
  </si>
  <si>
    <t>※</t>
    <phoneticPr fontId="1"/>
  </si>
  <si>
    <t>≪変更前≫</t>
    <rPh sb="1" eb="4">
      <t>ヘンコウマエ</t>
    </rPh>
    <phoneticPr fontId="1"/>
  </si>
  <si>
    <t>≪変更後≫</t>
    <rPh sb="1" eb="3">
      <t>ヘンコウ</t>
    </rPh>
    <rPh sb="3" eb="4">
      <t>ゴ</t>
    </rPh>
    <phoneticPr fontId="1"/>
  </si>
  <si>
    <t>予備審査
手数料</t>
    <phoneticPr fontId="1"/>
  </si>
  <si>
    <t>取扱手数料</t>
    <phoneticPr fontId="1"/>
  </si>
  <si>
    <t>オンライン
減額</t>
    <rPh sb="6" eb="8">
      <t>ゲンガク</t>
    </rPh>
    <phoneticPr fontId="1"/>
  </si>
  <si>
    <t>調査手数料
一部返還</t>
    <phoneticPr fontId="1"/>
  </si>
  <si>
    <t>国際出願手数料</t>
    <rPh sb="0" eb="2">
      <t>コクサイ</t>
    </rPh>
    <rPh sb="2" eb="4">
      <t>シュツガン</t>
    </rPh>
    <rPh sb="4" eb="7">
      <t>テスウリョウ</t>
    </rPh>
    <phoneticPr fontId="1"/>
  </si>
  <si>
    <t>30枚を超
える1枚</t>
    <phoneticPr fontId="1"/>
  </si>
  <si>
    <t>30枚まで</t>
    <phoneticPr fontId="1"/>
  </si>
  <si>
    <t>取得カラム</t>
    <rPh sb="0" eb="2">
      <t>シュトク</t>
    </rPh>
    <phoneticPr fontId="1"/>
  </si>
  <si>
    <t>料金</t>
    <rPh sb="0" eb="2">
      <t>リョウキン</t>
    </rPh>
    <phoneticPr fontId="1"/>
  </si>
  <si>
    <t>手数料の種類</t>
    <rPh sb="0" eb="3">
      <t>テスウリョウ</t>
    </rPh>
    <rPh sb="4" eb="6">
      <t>シュルイ</t>
    </rPh>
    <phoneticPr fontId="1"/>
  </si>
  <si>
    <t>取得行番号</t>
    <rPh sb="0" eb="2">
      <t>シュトク</t>
    </rPh>
    <rPh sb="2" eb="5">
      <t>ギョウバンゴウ</t>
    </rPh>
    <phoneticPr fontId="1"/>
  </si>
  <si>
    <t>※出願人が1名の場合は、「持分」は「1/1」と入力してください。</t>
    <phoneticPr fontId="1"/>
  </si>
  <si>
    <t>このシートでは、書面で国際出願、予備審査請求を行う場合の「手数料計算用紙」に</t>
    <rPh sb="8" eb="10">
      <t>ショメン</t>
    </rPh>
    <rPh sb="11" eb="13">
      <t>コクサイ</t>
    </rPh>
    <rPh sb="13" eb="15">
      <t>シュツガン</t>
    </rPh>
    <rPh sb="16" eb="18">
      <t>ヨビ</t>
    </rPh>
    <rPh sb="18" eb="20">
      <t>シンサ</t>
    </rPh>
    <rPh sb="20" eb="22">
      <t>セイキュウ</t>
    </rPh>
    <rPh sb="23" eb="24">
      <t>オコナ</t>
    </rPh>
    <rPh sb="25" eb="27">
      <t>バアイ</t>
    </rPh>
    <rPh sb="29" eb="32">
      <t>テスウリョウ</t>
    </rPh>
    <rPh sb="32" eb="34">
      <t>ケイサン</t>
    </rPh>
    <rPh sb="34" eb="36">
      <t>ヨウシ</t>
    </rPh>
    <phoneticPr fontId="1"/>
  </si>
  <si>
    <t>記載すべき金額等の確認ができます。</t>
    <rPh sb="0" eb="2">
      <t>キサイ</t>
    </rPh>
    <rPh sb="5" eb="8">
      <t>キンガクナド</t>
    </rPh>
    <rPh sb="9" eb="11">
      <t>カクニン</t>
    </rPh>
    <phoneticPr fontId="1"/>
  </si>
  <si>
    <t>このシートでは、インターネット出願ソフトの「料金表メンテナンス」で入力すべき金額の確認</t>
    <rPh sb="15" eb="17">
      <t>シュツガン</t>
    </rPh>
    <rPh sb="22" eb="24">
      <t>リョウキン</t>
    </rPh>
    <rPh sb="24" eb="25">
      <t>ヒョウ</t>
    </rPh>
    <rPh sb="33" eb="35">
      <t>ニュウリョク</t>
    </rPh>
    <rPh sb="38" eb="40">
      <t>キンガク</t>
    </rPh>
    <rPh sb="41" eb="43">
      <t>カクニン</t>
    </rPh>
    <phoneticPr fontId="1"/>
  </si>
  <si>
    <t>ができます。</t>
    <phoneticPr fontId="1"/>
  </si>
  <si>
    <t>国際出願に係る
手数料の合計</t>
    <rPh sb="0" eb="2">
      <t>コクサイ</t>
    </rPh>
    <rPh sb="2" eb="4">
      <t>シュツガン</t>
    </rPh>
    <rPh sb="5" eb="6">
      <t>カカ</t>
    </rPh>
    <rPh sb="8" eb="11">
      <t>テスウリョウ</t>
    </rPh>
    <rPh sb="12" eb="14">
      <t>ゴウケイ</t>
    </rPh>
    <phoneticPr fontId="1"/>
  </si>
  <si>
    <t>国際予備審査請求に係る
手数料の合計</t>
    <rPh sb="0" eb="2">
      <t>コクサイ</t>
    </rPh>
    <rPh sb="2" eb="4">
      <t>ヨビ</t>
    </rPh>
    <rPh sb="4" eb="6">
      <t>シンサ</t>
    </rPh>
    <rPh sb="6" eb="8">
      <t>セイキュウ</t>
    </rPh>
    <rPh sb="9" eb="10">
      <t>カカ</t>
    </rPh>
    <rPh sb="12" eb="15">
      <t>テスウリョウ</t>
    </rPh>
    <rPh sb="16" eb="18">
      <t>ゴウケイ</t>
    </rPh>
    <phoneticPr fontId="1"/>
  </si>
  <si>
    <r>
      <rPr>
        <b/>
        <sz val="14"/>
        <color theme="1"/>
        <rFont val="ＭＳ Ｐゴシック"/>
        <family val="3"/>
        <charset val="128"/>
      </rPr>
      <t>国際出願に係る手数料</t>
    </r>
    <r>
      <rPr>
        <sz val="14"/>
        <color theme="1"/>
        <rFont val="ＭＳ Ｐゴシック"/>
        <family val="3"/>
        <charset val="128"/>
      </rPr>
      <t>（送付手数料、調査手数料、国際出願手数料）</t>
    </r>
    <rPh sb="0" eb="2">
      <t>コクサイ</t>
    </rPh>
    <rPh sb="2" eb="4">
      <t>シュツガン</t>
    </rPh>
    <rPh sb="5" eb="6">
      <t>カカ</t>
    </rPh>
    <rPh sb="7" eb="10">
      <t>テスウリョウ</t>
    </rPh>
    <rPh sb="11" eb="13">
      <t>ソウフ</t>
    </rPh>
    <rPh sb="13" eb="16">
      <t>テスウリョウ</t>
    </rPh>
    <rPh sb="17" eb="19">
      <t>チョウサ</t>
    </rPh>
    <rPh sb="19" eb="22">
      <t>テスウリョウ</t>
    </rPh>
    <rPh sb="23" eb="25">
      <t>コクサイ</t>
    </rPh>
    <rPh sb="25" eb="27">
      <t>シュツガン</t>
    </rPh>
    <rPh sb="27" eb="30">
      <t>テスウリョウ</t>
    </rPh>
    <phoneticPr fontId="1"/>
  </si>
  <si>
    <r>
      <t>国際予備審査請求に係る手数料</t>
    </r>
    <r>
      <rPr>
        <sz val="14"/>
        <color theme="1"/>
        <rFont val="ＭＳ Ｐゴシック"/>
        <family val="3"/>
        <charset val="128"/>
      </rPr>
      <t>(予備審査手数料、取扱手数料)</t>
    </r>
    <rPh sb="0" eb="2">
      <t>コクサイ</t>
    </rPh>
    <rPh sb="2" eb="6">
      <t>ヨビシンサ</t>
    </rPh>
    <rPh sb="6" eb="8">
      <t>セイキュウ</t>
    </rPh>
    <rPh sb="9" eb="10">
      <t>カカ</t>
    </rPh>
    <rPh sb="11" eb="14">
      <t>テスウリョウ</t>
    </rPh>
    <rPh sb="15" eb="17">
      <t>ヨビ</t>
    </rPh>
    <rPh sb="17" eb="19">
      <t>シンサ</t>
    </rPh>
    <rPh sb="19" eb="22">
      <t>テスウリョウ</t>
    </rPh>
    <rPh sb="23" eb="24">
      <t>ト</t>
    </rPh>
    <rPh sb="24" eb="25">
      <t>アツカ</t>
    </rPh>
    <rPh sb="25" eb="28">
      <t>テスウリョウ</t>
    </rPh>
    <phoneticPr fontId="1"/>
  </si>
  <si>
    <t>＜ご使用前に＞</t>
    <phoneticPr fontId="1"/>
  </si>
  <si>
    <t>・</t>
    <phoneticPr fontId="1"/>
  </si>
  <si>
    <t>「国際出願に含まれる用紙の枚数」の入力は、国際出願手数料の計算に必要です。入力がない場合は、30枚以下として計算します。</t>
    <phoneticPr fontId="1"/>
  </si>
  <si>
    <t>出願人全員について「持分」（分数）を入力し、「要件」をプルダウンから選択してください。</t>
  </si>
  <si>
    <t>「オンライン出願 (Yes/No)」の入力は、国際出願手数料の計算に必要です。入力がない場合は、「オンライン出願」は、"No"として</t>
    <phoneticPr fontId="1"/>
  </si>
  <si>
    <t>計算します。</t>
    <phoneticPr fontId="1"/>
  </si>
  <si>
    <t>水色のセルのみ入力が可能です。以前の入力情報が残っている場合は、削除してからご使用ください。</t>
    <rPh sb="15" eb="17">
      <t>イゼン</t>
    </rPh>
    <rPh sb="18" eb="20">
      <t>ニュウリョク</t>
    </rPh>
    <rPh sb="20" eb="22">
      <t>ジョウホウ</t>
    </rPh>
    <rPh sb="23" eb="24">
      <t>ノコ</t>
    </rPh>
    <rPh sb="28" eb="30">
      <t>バアイ</t>
    </rPh>
    <rPh sb="32" eb="34">
      <t>サクジョ</t>
    </rPh>
    <rPh sb="39" eb="41">
      <t>シヨウ</t>
    </rPh>
    <phoneticPr fontId="1"/>
  </si>
  <si>
    <t>国際出願関係手数料計算ツール</t>
    <phoneticPr fontId="1"/>
  </si>
  <si>
    <t>国際出願関係手数料の改定毎に最新バージョンの国際出願関係手数料計算ツールが提供されます。</t>
    <rPh sb="2" eb="4">
      <t>シュツガン</t>
    </rPh>
    <rPh sb="37" eb="39">
      <t>テイキョウ</t>
    </rPh>
    <phoneticPr fontId="1"/>
  </si>
  <si>
    <r>
      <t>◎</t>
    </r>
    <r>
      <rPr>
        <b/>
        <sz val="12"/>
        <color theme="1"/>
        <rFont val="游ゴシック"/>
        <family val="3"/>
        <charset val="128"/>
        <scheme val="minor"/>
      </rPr>
      <t>国際出願に係る手数料</t>
    </r>
    <r>
      <rPr>
        <sz val="12"/>
        <color theme="1"/>
        <rFont val="游ゴシック"/>
        <family val="3"/>
        <charset val="128"/>
        <scheme val="minor"/>
      </rPr>
      <t>（送付手数料、調査手数料、国際出願手数料）</t>
    </r>
    <rPh sb="1" eb="3">
      <t>コクサイ</t>
    </rPh>
    <rPh sb="3" eb="5">
      <t>シュツガン</t>
    </rPh>
    <rPh sb="6" eb="7">
      <t>カカ</t>
    </rPh>
    <rPh sb="8" eb="11">
      <t>テスウリョウ</t>
    </rPh>
    <rPh sb="12" eb="14">
      <t>ソウフ</t>
    </rPh>
    <rPh sb="14" eb="17">
      <t>テスウリョウ</t>
    </rPh>
    <rPh sb="18" eb="20">
      <t>チョウサ</t>
    </rPh>
    <rPh sb="20" eb="23">
      <t>テスウリョウ</t>
    </rPh>
    <rPh sb="24" eb="26">
      <t>コクサイ</t>
    </rPh>
    <rPh sb="26" eb="28">
      <t>シュツガン</t>
    </rPh>
    <rPh sb="28" eb="31">
      <t>テスウリョウ</t>
    </rPh>
    <phoneticPr fontId="1"/>
  </si>
  <si>
    <r>
      <rPr>
        <b/>
        <sz val="12"/>
        <color theme="1"/>
        <rFont val="游ゴシック"/>
        <family val="3"/>
        <charset val="128"/>
        <scheme val="minor"/>
      </rPr>
      <t>◎国際予備審査請求に係る手数料</t>
    </r>
    <r>
      <rPr>
        <sz val="12"/>
        <color theme="1"/>
        <rFont val="游ゴシック"/>
        <family val="2"/>
        <charset val="128"/>
        <scheme val="minor"/>
      </rPr>
      <t>(予備審査手数料、取扱手数料)</t>
    </r>
    <rPh sb="1" eb="3">
      <t>コクサイ</t>
    </rPh>
    <rPh sb="3" eb="5">
      <t>ヨビ</t>
    </rPh>
    <rPh sb="5" eb="7">
      <t>シンサ</t>
    </rPh>
    <rPh sb="7" eb="9">
      <t>セイキュウ</t>
    </rPh>
    <rPh sb="10" eb="11">
      <t>カカ</t>
    </rPh>
    <rPh sb="12" eb="15">
      <t>テスウリョウ</t>
    </rPh>
    <rPh sb="16" eb="18">
      <t>ヨビ</t>
    </rPh>
    <rPh sb="18" eb="20">
      <t>シンサ</t>
    </rPh>
    <rPh sb="20" eb="23">
      <t>テスウリョウ</t>
    </rPh>
    <rPh sb="24" eb="26">
      <t>トリアツカイ</t>
    </rPh>
    <rPh sb="26" eb="29">
      <t>テスウリョウ</t>
    </rPh>
    <phoneticPr fontId="1"/>
  </si>
  <si>
    <t>このツールが最新バージョンか、右上に表示されている適用日をご確認の上、ご使用ください。</t>
    <rPh sb="15" eb="17">
      <t>ミギウエ</t>
    </rPh>
    <rPh sb="18" eb="20">
      <t>ヒョウジ</t>
    </rPh>
    <phoneticPr fontId="1"/>
  </si>
  <si>
    <t>《軽減・支援措置の手数料計算方法》</t>
  </si>
  <si>
    <t>単独出願の場合の軽減・支援措置適用後の額の計算方法</t>
  </si>
  <si>
    <t>単独出願における軽減・支援措置適用後の額は、規定された手数料の金額に手数料の負担割合を乗じた額となります。</t>
  </si>
  <si>
    <t>なお、国際出願手数料は、最初の30枚までの手数料、用紙1枚の手数料、オンラインの減額のそれぞれの金額に手数料の負担割合を乗じて</t>
  </si>
  <si>
    <t>から計算します。</t>
  </si>
  <si>
    <t>送付手数料：</t>
  </si>
  <si>
    <t>調査手数料：</t>
  </si>
  <si>
    <t>国際出願手数料：</t>
  </si>
  <si>
    <t xml:space="preserve"> (内訳)①最初の30枚までの手数料</t>
  </si>
  <si>
    <t xml:space="preserve"> 　　　②用紙1枚の手数料</t>
  </si>
  <si>
    <t xml:space="preserve"> 　　　③オンラインの減額</t>
  </si>
  <si>
    <t>【送付手数料】</t>
  </si>
  <si>
    <t>（計算の結果、端数が生じる場合は、10円未満を切り捨てます）</t>
  </si>
  <si>
    <t>【調査手数料】</t>
  </si>
  <si>
    <t>【国際出願手数料】</t>
  </si>
  <si>
    <t>①最初の30枚までの手数料</t>
  </si>
  <si>
    <t>②用紙1枚の手数料</t>
  </si>
  <si>
    <t>③オンラインの減額</t>
  </si>
  <si>
    <t>■国際出願手数料の合計額の計算</t>
  </si>
  <si>
    <t>共同出願の場合の軽減・支援措置適用後の額の計算方法</t>
  </si>
  <si>
    <t>共同出願における軽減・支援措置適用後の額は、出願人ごとに規定された手数料の金額（対象者については、軽減・支援措置適用後の金額）</t>
  </si>
  <si>
    <t>にその持分の割合を乗じて得られる額を合算した額となります。</t>
  </si>
  <si>
    <t>▊</t>
    <phoneticPr fontId="1"/>
  </si>
  <si>
    <t>出願人A</t>
    <rPh sb="0" eb="3">
      <t>シュツガンニン</t>
    </rPh>
    <phoneticPr fontId="1"/>
  </si>
  <si>
    <t>出願人B</t>
    <rPh sb="0" eb="3">
      <t>シュツガンニン</t>
    </rPh>
    <phoneticPr fontId="1"/>
  </si>
  <si>
    <t>願書枚数</t>
    <rPh sb="0" eb="2">
      <t>ガンショ</t>
    </rPh>
    <rPh sb="2" eb="4">
      <t>マイスウ</t>
    </rPh>
    <phoneticPr fontId="1"/>
  </si>
  <si>
    <t>軽減・支援措置の手数料計算方法　基礎値入力</t>
    <rPh sb="16" eb="18">
      <t>キソ</t>
    </rPh>
    <rPh sb="18" eb="19">
      <t>チ</t>
    </rPh>
    <rPh sb="19" eb="21">
      <t>ニュウリョク</t>
    </rPh>
    <phoneticPr fontId="1"/>
  </si>
  <si>
    <t>負担割合</t>
    <rPh sb="0" eb="2">
      <t>フタン</t>
    </rPh>
    <rPh sb="2" eb="4">
      <t>ワリアイ</t>
    </rPh>
    <phoneticPr fontId="4"/>
  </si>
  <si>
    <t>単願要件・負担割合</t>
    <rPh sb="0" eb="2">
      <t>タンガン</t>
    </rPh>
    <rPh sb="2" eb="4">
      <t>ヨウケン</t>
    </rPh>
    <rPh sb="5" eb="7">
      <t>フタン</t>
    </rPh>
    <rPh sb="7" eb="9">
      <t>ワリアイ</t>
    </rPh>
    <phoneticPr fontId="1"/>
  </si>
  <si>
    <t>負担割合</t>
    <rPh sb="0" eb="2">
      <t>フタン</t>
    </rPh>
    <rPh sb="2" eb="4">
      <t>ワリアイ</t>
    </rPh>
    <phoneticPr fontId="1"/>
  </si>
  <si>
    <t>第５号　中小スタートアップ企業</t>
    <rPh sb="0" eb="1">
      <t>ダイ</t>
    </rPh>
    <rPh sb="2" eb="3">
      <t>ゴウ</t>
    </rPh>
    <rPh sb="4" eb="6">
      <t>チュウショウ</t>
    </rPh>
    <rPh sb="13" eb="15">
      <t>キギョウ</t>
    </rPh>
    <phoneticPr fontId="4"/>
  </si>
  <si>
    <t>第１号　中小企業</t>
    <rPh sb="0" eb="1">
      <t>ダイ</t>
    </rPh>
    <rPh sb="2" eb="3">
      <t>ゴウ</t>
    </rPh>
    <rPh sb="4" eb="6">
      <t>チュウショウ</t>
    </rPh>
    <rPh sb="6" eb="8">
      <t>キギョウ</t>
    </rPh>
    <phoneticPr fontId="4"/>
  </si>
  <si>
    <t>第２号　研究開発型中小企業</t>
    <rPh sb="0" eb="1">
      <t>ダイ</t>
    </rPh>
    <rPh sb="2" eb="3">
      <t>ゴウ</t>
    </rPh>
    <rPh sb="4" eb="6">
      <t>ケンキュウ</t>
    </rPh>
    <rPh sb="6" eb="8">
      <t>カイハツ</t>
    </rPh>
    <rPh sb="8" eb="9">
      <t>ガタ</t>
    </rPh>
    <rPh sb="9" eb="11">
      <t>チュウショウ</t>
    </rPh>
    <rPh sb="11" eb="13">
      <t>キギョウ</t>
    </rPh>
    <phoneticPr fontId="4"/>
  </si>
  <si>
    <t>第６号　福島関連中小企業</t>
    <rPh sb="0" eb="1">
      <t>ダイ</t>
    </rPh>
    <rPh sb="2" eb="3">
      <t>ゴウ</t>
    </rPh>
    <rPh sb="4" eb="6">
      <t>フクシマ</t>
    </rPh>
    <rPh sb="6" eb="8">
      <t>カンレン</t>
    </rPh>
    <rPh sb="8" eb="10">
      <t>チュウショウ</t>
    </rPh>
    <rPh sb="10" eb="12">
      <t>キギョウ</t>
    </rPh>
    <phoneticPr fontId="4"/>
  </si>
  <si>
    <t>第３号　大学・試験研究機関等</t>
    <rPh sb="0" eb="1">
      <t>ダイ</t>
    </rPh>
    <rPh sb="2" eb="3">
      <t>ゴウ</t>
    </rPh>
    <rPh sb="4" eb="6">
      <t>ダイガク</t>
    </rPh>
    <rPh sb="7" eb="9">
      <t>シケン</t>
    </rPh>
    <rPh sb="9" eb="11">
      <t>ケンキュウ</t>
    </rPh>
    <rPh sb="11" eb="14">
      <t>キカントウ</t>
    </rPh>
    <phoneticPr fontId="4"/>
  </si>
  <si>
    <t>黄色のセルが入力可能なセルです。</t>
    <rPh sb="0" eb="2">
      <t>キイロ</t>
    </rPh>
    <rPh sb="6" eb="8">
      <t>ニュウリョク</t>
    </rPh>
    <rPh sb="8" eb="10">
      <t>カノウ</t>
    </rPh>
    <phoneticPr fontId="1"/>
  </si>
  <si>
    <t>規定された料金</t>
    <rPh sb="0" eb="2">
      <t>キテイ</t>
    </rPh>
    <rPh sb="5" eb="7">
      <t>リョウキン</t>
    </rPh>
    <phoneticPr fontId="1"/>
  </si>
  <si>
    <t>持ち分割合</t>
    <rPh sb="0" eb="1">
      <t>モ</t>
    </rPh>
    <rPh sb="2" eb="3">
      <t>ブン</t>
    </rPh>
    <rPh sb="3" eb="5">
      <t>ワリアイ</t>
    </rPh>
    <phoneticPr fontId="1"/>
  </si>
  <si>
    <t>共願要件・負担割合、持ち分割合</t>
    <rPh sb="0" eb="1">
      <t>キョウ</t>
    </rPh>
    <rPh sb="1" eb="2">
      <t>ガン</t>
    </rPh>
    <rPh sb="2" eb="4">
      <t>ヨウケン</t>
    </rPh>
    <rPh sb="10" eb="11">
      <t>モ</t>
    </rPh>
    <rPh sb="12" eb="13">
      <t>ブン</t>
    </rPh>
    <rPh sb="13" eb="15">
      <t>ワリアイ</t>
    </rPh>
    <phoneticPr fontId="1"/>
  </si>
  <si>
    <r>
      <t>出願時に先の調査の利用請求をした場合又は、日本国特許庁が国際調査機関(ISA/JP)の国際出願を優先権主張した場合であって、 国際調査報告と同時作成される「先の調査等の 結果の利用状況に関する通知書」(番外2)において「利用できる」とされた場合に、「調査手数料一部返還請求書」を提出することにより返還される金額です。
なお、上記は、</t>
    </r>
    <r>
      <rPr>
        <sz val="11"/>
        <color rgb="FFFF0000"/>
        <rFont val="ＭＳ Ｐゴシック"/>
        <family val="3"/>
        <charset val="128"/>
      </rPr>
      <t>2022年4月1日</t>
    </r>
    <r>
      <rPr>
        <sz val="11"/>
        <color theme="1"/>
        <rFont val="ＭＳ Ｐゴシック"/>
        <family val="3"/>
        <charset val="128"/>
      </rPr>
      <t>以降に出願されたものの返還額です。2022年3月31日以前に出願されたものの返還額をお知りになりたい場合は、受理官庁担当(内線2643)にお問い合わせください。</t>
    </r>
    <rPh sb="70" eb="72">
      <t>ドウジ</t>
    </rPh>
    <rPh sb="101" eb="103">
      <t>バンガイ</t>
    </rPh>
    <rPh sb="153" eb="154">
      <t>キン</t>
    </rPh>
    <rPh sb="162" eb="164">
      <t>ジョウキ</t>
    </rPh>
    <rPh sb="186" eb="188">
      <t>ヘンカン</t>
    </rPh>
    <rPh sb="196" eb="197">
      <t>ネン</t>
    </rPh>
    <rPh sb="198" eb="199">
      <t>ガツ</t>
    </rPh>
    <rPh sb="201" eb="202">
      <t>ヒ</t>
    </rPh>
    <rPh sb="202" eb="204">
      <t>イゼン</t>
    </rPh>
    <rPh sb="205" eb="207">
      <t>シュツガン</t>
    </rPh>
    <rPh sb="213" eb="215">
      <t>ヘンカン</t>
    </rPh>
    <rPh sb="218" eb="219">
      <t>シ</t>
    </rPh>
    <rPh sb="225" eb="227">
      <t>バアイ</t>
    </rPh>
    <rPh sb="229" eb="231">
      <t>ジュリ</t>
    </rPh>
    <rPh sb="231" eb="233">
      <t>カンチョウ</t>
    </rPh>
    <rPh sb="233" eb="235">
      <t>タントウ</t>
    </rPh>
    <rPh sb="236" eb="238">
      <t>ナイセン</t>
    </rPh>
    <rPh sb="245" eb="246">
      <t>ト</t>
    </rPh>
    <rPh sb="247" eb="248">
      <t>ア</t>
    </rPh>
    <phoneticPr fontId="1"/>
  </si>
  <si>
    <t>「国際出願関係手数料改定時に必要な手続等について」</t>
    <phoneticPr fontId="1"/>
  </si>
  <si>
    <t>最新バージョンのツールも、上記のホームページからダウンロードできます。</t>
    <rPh sb="13" eb="15">
      <t>ジョウキ</t>
    </rPh>
    <phoneticPr fontId="1"/>
  </si>
  <si>
    <t>最新の適用日は、以下のホームページの冒頭をご確認ください。</t>
    <phoneticPr fontId="1"/>
  </si>
  <si>
    <t>調査手数料
返還後手数料</t>
    <rPh sb="6" eb="9">
      <t>ヘンカンゴ</t>
    </rPh>
    <rPh sb="9" eb="12">
      <t>テスウリョウ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</si>
</sst>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dd"/>
    <numFmt numFmtId="177" formatCode="[DBNum3]yyyy&quot;年&quot;\ m&quot;月&quot;\ d&quot;日&quot;"/>
    <numFmt numFmtId="178" formatCode="[DBNum3]0."/>
    <numFmt numFmtId="179" formatCode="??/??"/>
    <numFmt numFmtId="180" formatCode="?/?"/>
  </numFmts>
  <fonts count="5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color theme="1"/>
      <name val="ＭＳ Ｐゴシック"/>
      <family val="3"/>
      <charset val="128"/>
    </font>
    <font>
      <sz val="12"/>
      <name val="ＭＳ Ｐゴシック"/>
      <family val="3"/>
      <charset val="128"/>
    </font>
    <font>
      <sz val="11"/>
      <color theme="1"/>
      <name val="ＭＳ Ｐゴシック"/>
      <family val="3"/>
      <charset val="128"/>
    </font>
    <font>
      <sz val="16"/>
      <name val="ＭＳ Ｐゴシック"/>
      <family val="3"/>
      <charset val="128"/>
    </font>
    <font>
      <sz val="16"/>
      <color theme="1"/>
      <name val="ＭＳ Ｐゴシック"/>
      <family val="3"/>
      <charset val="128"/>
    </font>
    <font>
      <b/>
      <sz val="14"/>
      <color theme="0"/>
      <name val="ＭＳ Ｐゴシック"/>
      <family val="3"/>
      <charset val="128"/>
    </font>
    <font>
      <b/>
      <sz val="14"/>
      <name val="ＭＳ Ｐゴシック"/>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1"/>
      <color theme="0"/>
      <name val="ＭＳ Ｐゴシック"/>
      <family val="3"/>
      <charset val="128"/>
    </font>
    <font>
      <sz val="16"/>
      <color theme="1"/>
      <name val="游ゴシック"/>
      <family val="2"/>
      <charset val="128"/>
      <scheme val="minor"/>
    </font>
    <font>
      <sz val="11"/>
      <color rgb="FFFF0000"/>
      <name val="ＭＳ Ｐゴシック"/>
      <family val="3"/>
      <charset val="128"/>
    </font>
    <font>
      <b/>
      <sz val="14"/>
      <color theme="1"/>
      <name val="ＭＳ Ｐゴシック"/>
      <family val="3"/>
      <charset val="128"/>
    </font>
    <font>
      <sz val="14"/>
      <color theme="1"/>
      <name val="ＭＳ Ｐゴシック"/>
      <family val="3"/>
      <charset val="128"/>
    </font>
    <font>
      <b/>
      <sz val="11"/>
      <color theme="1"/>
      <name val="游ゴシック"/>
      <family val="3"/>
      <charset val="128"/>
      <scheme val="minor"/>
    </font>
    <font>
      <b/>
      <sz val="11"/>
      <name val="游ゴシック"/>
      <family val="3"/>
      <charset val="128"/>
      <scheme val="minor"/>
    </font>
    <font>
      <b/>
      <sz val="12"/>
      <color theme="0"/>
      <name val="ＭＳ Ｐゴシック"/>
      <family val="3"/>
      <charset val="128"/>
    </font>
    <font>
      <sz val="10"/>
      <color theme="1"/>
      <name val="游ゴシック"/>
      <family val="2"/>
      <charset val="128"/>
      <scheme val="minor"/>
    </font>
    <font>
      <sz val="7"/>
      <color theme="1"/>
      <name val="游ゴシック"/>
      <family val="3"/>
      <charset val="128"/>
      <scheme val="minor"/>
    </font>
    <font>
      <b/>
      <sz val="16"/>
      <name val="ＭＳ Ｐゴシック"/>
      <family val="3"/>
      <charset val="128"/>
    </font>
    <font>
      <sz val="11"/>
      <color rgb="FFFF0000"/>
      <name val="游ゴシック"/>
      <family val="2"/>
      <charset val="128"/>
      <scheme val="minor"/>
    </font>
    <font>
      <sz val="12"/>
      <color theme="1"/>
      <name val="游ゴシック"/>
      <family val="2"/>
      <charset val="128"/>
      <scheme val="minor"/>
    </font>
    <font>
      <sz val="14"/>
      <color theme="1"/>
      <name val="游ゴシック"/>
      <family val="2"/>
      <charset val="128"/>
      <scheme val="minor"/>
    </font>
    <font>
      <b/>
      <sz val="13"/>
      <color theme="0"/>
      <name val="ＭＳ Ｐゴシック"/>
      <family val="3"/>
      <charset val="128"/>
    </font>
    <font>
      <b/>
      <sz val="12"/>
      <color theme="1"/>
      <name val="游ゴシック"/>
      <family val="3"/>
      <charset val="128"/>
      <scheme val="minor"/>
    </font>
    <font>
      <sz val="12"/>
      <color theme="1"/>
      <name val="游ゴシック"/>
      <family val="3"/>
      <charset val="128"/>
      <scheme val="minor"/>
    </font>
    <font>
      <u/>
      <sz val="11"/>
      <color theme="10"/>
      <name val="游ゴシック"/>
      <family val="2"/>
      <charset val="128"/>
      <scheme val="minor"/>
    </font>
    <font>
      <u/>
      <sz val="12"/>
      <color theme="10"/>
      <name val="游ゴシック"/>
      <family val="2"/>
      <charset val="128"/>
      <scheme val="minor"/>
    </font>
    <font>
      <b/>
      <u/>
      <sz val="14"/>
      <color rgb="FFFF0000"/>
      <name val="ＭＳ Ｐゴシック"/>
      <family val="3"/>
      <charset val="128"/>
    </font>
    <font>
      <u/>
      <sz val="12"/>
      <color theme="10"/>
      <name val="ＭＳ Ｐゴシック"/>
      <family val="3"/>
      <charset val="128"/>
    </font>
    <font>
      <sz val="11"/>
      <color theme="1"/>
      <name val="ＭＳ ゴシック"/>
      <family val="3"/>
      <charset val="128"/>
    </font>
    <font>
      <b/>
      <sz val="14"/>
      <color theme="1"/>
      <name val="ＭＳ ゴシック"/>
      <family val="3"/>
      <charset val="128"/>
    </font>
    <font>
      <b/>
      <sz val="12"/>
      <color theme="1"/>
      <name val="ＭＳ ゴシック"/>
      <family val="3"/>
      <charset val="128"/>
    </font>
    <font>
      <sz val="18"/>
      <color theme="4" tint="-0.249977111117893"/>
      <name val="ＭＳ ゴシック"/>
      <family val="3"/>
      <charset val="128"/>
    </font>
    <font>
      <sz val="18"/>
      <color theme="8" tint="-0.499984740745262"/>
      <name val="ＭＳ ゴシック"/>
      <family val="3"/>
      <charset val="128"/>
    </font>
    <font>
      <sz val="14"/>
      <color theme="0"/>
      <name val="ＭＳ Ｐゴシック"/>
      <family val="3"/>
      <charset val="128"/>
    </font>
    <font>
      <sz val="16"/>
      <color theme="0"/>
      <name val="ＭＳ Ｐゴシック"/>
      <family val="3"/>
      <charset val="128"/>
    </font>
    <font>
      <sz val="12"/>
      <color theme="0"/>
      <name val="ＭＳ Ｐゴシック"/>
      <family val="3"/>
      <charset val="128"/>
    </font>
    <font>
      <sz val="9"/>
      <color theme="1"/>
      <name val="ＭＳ ゴシック"/>
      <family val="3"/>
      <charset val="128"/>
    </font>
    <font>
      <b/>
      <sz val="10"/>
      <color theme="1"/>
      <name val="ＭＳ ゴシック"/>
      <family val="3"/>
      <charset val="128"/>
    </font>
    <font>
      <sz val="10"/>
      <color theme="1"/>
      <name val="ＭＳ ゴシック"/>
      <family val="3"/>
      <charset val="128"/>
    </font>
    <font>
      <b/>
      <sz val="12"/>
      <name val="ＭＳ Ｐゴシック"/>
      <family val="3"/>
      <charset val="128"/>
    </font>
    <font>
      <sz val="12"/>
      <color rgb="FFFF0000"/>
      <name val="ＭＳ Ｐゴシック"/>
      <family val="3"/>
      <charset val="128"/>
    </font>
    <font>
      <sz val="10"/>
      <name val="ＭＳ Ｐゴシック"/>
      <family val="3"/>
      <charset val="128"/>
    </font>
    <font>
      <sz val="12"/>
      <color theme="8"/>
      <name val="ＭＳ Ｐゴシック"/>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auto="1"/>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0" fontId="33" fillId="0" borderId="0" applyNumberFormat="0" applyFill="0" applyBorder="0" applyAlignment="0" applyProtection="0">
      <alignment vertical="center"/>
    </xf>
  </cellStyleXfs>
  <cellXfs count="307">
    <xf numFmtId="0" fontId="0" fillId="0" borderId="0" xfId="0">
      <alignment vertical="center"/>
    </xf>
    <xf numFmtId="0" fontId="6" fillId="0" borderId="0" xfId="2" applyFont="1">
      <alignment vertical="center"/>
    </xf>
    <xf numFmtId="12" fontId="6" fillId="0" borderId="0" xfId="2" applyNumberFormat="1" applyFont="1" applyAlignment="1">
      <alignment horizontal="center" vertical="center"/>
    </xf>
    <xf numFmtId="0" fontId="6" fillId="0" borderId="1" xfId="2" applyFont="1" applyBorder="1" applyAlignment="1">
      <alignment horizontal="center" vertical="center"/>
    </xf>
    <xf numFmtId="12" fontId="6" fillId="0" borderId="1" xfId="2" applyNumberFormat="1" applyFont="1" applyBorder="1" applyAlignment="1">
      <alignment horizontal="center" vertical="center"/>
    </xf>
    <xf numFmtId="0" fontId="6" fillId="0" borderId="1" xfId="2" applyFont="1" applyBorder="1">
      <alignment vertical="center"/>
    </xf>
    <xf numFmtId="0" fontId="5" fillId="0" borderId="0" xfId="0" applyFont="1" applyBorder="1" applyAlignment="1" applyProtection="1">
      <alignment horizontal="center" vertical="center"/>
    </xf>
    <xf numFmtId="0" fontId="5" fillId="0" borderId="0" xfId="0" applyFont="1" applyProtection="1">
      <alignment vertical="center"/>
    </xf>
    <xf numFmtId="0" fontId="5" fillId="0" borderId="14"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0" xfId="0" applyFont="1" applyProtection="1">
      <alignment vertical="center"/>
    </xf>
    <xf numFmtId="0" fontId="5" fillId="0" borderId="0" xfId="0" applyFont="1" applyProtection="1">
      <alignment vertical="center"/>
    </xf>
    <xf numFmtId="0" fontId="5" fillId="0" borderId="0" xfId="0" applyFont="1" applyFill="1" applyBorder="1" applyAlignment="1" applyProtection="1">
      <alignment vertical="center"/>
    </xf>
    <xf numFmtId="38" fontId="5" fillId="0" borderId="0" xfId="1" applyFont="1" applyProtection="1">
      <alignment vertical="center"/>
    </xf>
    <xf numFmtId="0" fontId="5" fillId="0" borderId="0" xfId="0" applyFont="1" applyProtection="1">
      <alignment vertical="center"/>
    </xf>
    <xf numFmtId="38" fontId="0" fillId="0" borderId="0" xfId="1" applyFont="1">
      <alignment vertical="center"/>
    </xf>
    <xf numFmtId="176" fontId="0" fillId="0" borderId="0" xfId="0" applyNumberFormat="1">
      <alignment vertical="center"/>
    </xf>
    <xf numFmtId="38" fontId="0" fillId="0" borderId="0" xfId="1" applyFont="1" applyAlignment="1">
      <alignment horizontal="right" vertical="center"/>
    </xf>
    <xf numFmtId="176" fontId="0" fillId="0" borderId="1" xfId="0" applyNumberFormat="1" applyBorder="1" applyAlignment="1">
      <alignment horizontal="center" vertical="center"/>
    </xf>
    <xf numFmtId="38" fontId="0" fillId="0" borderId="1" xfId="1" applyFont="1" applyBorder="1" applyAlignment="1">
      <alignment horizontal="center" vertical="center"/>
    </xf>
    <xf numFmtId="38" fontId="0" fillId="0" borderId="1" xfId="1" applyFont="1" applyBorder="1" applyAlignment="1">
      <alignment horizontal="right" vertical="center"/>
    </xf>
    <xf numFmtId="176" fontId="0" fillId="0" borderId="1" xfId="0" applyNumberFormat="1" applyBorder="1">
      <alignment vertical="center"/>
    </xf>
    <xf numFmtId="38" fontId="0" fillId="0" borderId="1" xfId="1" applyFont="1" applyBorder="1">
      <alignment vertical="center"/>
    </xf>
    <xf numFmtId="38" fontId="0" fillId="0" borderId="1" xfId="1" applyFont="1" applyBorder="1" applyAlignment="1">
      <alignment horizontal="center" vertical="center" wrapText="1"/>
    </xf>
    <xf numFmtId="0" fontId="0" fillId="0" borderId="0" xfId="0" applyAlignment="1">
      <alignment horizontal="center" vertical="center"/>
    </xf>
    <xf numFmtId="0" fontId="0" fillId="0" borderId="29" xfId="0" applyBorder="1">
      <alignment vertical="center"/>
    </xf>
    <xf numFmtId="38" fontId="0" fillId="0" borderId="31" xfId="1" applyFont="1" applyBorder="1">
      <alignment vertical="center"/>
    </xf>
    <xf numFmtId="38" fontId="0" fillId="0" borderId="33" xfId="1" applyFont="1" applyBorder="1">
      <alignment vertical="center"/>
    </xf>
    <xf numFmtId="0" fontId="0" fillId="0" borderId="24" xfId="0" applyBorder="1">
      <alignment vertical="center"/>
    </xf>
    <xf numFmtId="38" fontId="0" fillId="0" borderId="35" xfId="1" applyFont="1" applyBorder="1">
      <alignment vertical="center"/>
    </xf>
    <xf numFmtId="0" fontId="0" fillId="0" borderId="0" xfId="0" applyAlignment="1">
      <alignment vertical="center"/>
    </xf>
    <xf numFmtId="176" fontId="0" fillId="0" borderId="1" xfId="1" applyNumberFormat="1" applyFont="1" applyBorder="1" applyAlignment="1">
      <alignment horizontal="center" vertical="center"/>
    </xf>
    <xf numFmtId="0" fontId="0" fillId="4" borderId="30" xfId="0" applyFill="1" applyBorder="1">
      <alignment vertical="center"/>
    </xf>
    <xf numFmtId="0" fontId="0" fillId="4" borderId="14" xfId="0" applyFill="1" applyBorder="1" applyAlignment="1">
      <alignment horizontal="center" vertical="center"/>
    </xf>
    <xf numFmtId="0" fontId="0" fillId="4" borderId="2" xfId="0" applyFill="1" applyBorder="1">
      <alignment vertical="center"/>
    </xf>
    <xf numFmtId="0" fontId="0" fillId="4" borderId="3" xfId="0" applyFill="1" applyBorder="1" applyAlignment="1">
      <alignment horizontal="center" vertical="center"/>
    </xf>
    <xf numFmtId="0" fontId="0" fillId="4" borderId="34" xfId="0" applyFill="1" applyBorder="1">
      <alignment vertical="center"/>
    </xf>
    <xf numFmtId="0" fontId="0" fillId="4" borderId="19" xfId="0" applyFill="1" applyBorder="1" applyAlignment="1">
      <alignment horizontal="center" vertical="center"/>
    </xf>
    <xf numFmtId="0" fontId="0" fillId="4" borderId="29" xfId="0" applyFill="1" applyBorder="1">
      <alignment vertical="center"/>
    </xf>
    <xf numFmtId="0" fontId="0" fillId="4" borderId="32" xfId="0" applyFill="1" applyBorder="1">
      <alignment vertical="center"/>
    </xf>
    <xf numFmtId="0" fontId="0" fillId="4" borderId="24" xfId="0" applyFill="1" applyBorder="1">
      <alignment vertical="center"/>
    </xf>
    <xf numFmtId="0" fontId="5" fillId="0" borderId="0" xfId="0" applyFont="1" applyProtection="1">
      <alignment vertical="center"/>
    </xf>
    <xf numFmtId="0" fontId="5" fillId="0" borderId="0" xfId="0" applyFont="1" applyFill="1" applyBorder="1" applyAlignment="1" applyProtection="1">
      <alignment horizontal="left" vertical="center"/>
    </xf>
    <xf numFmtId="0" fontId="0" fillId="0" borderId="0" xfId="0" quotePrefix="1">
      <alignment vertical="center"/>
    </xf>
    <xf numFmtId="0" fontId="13" fillId="0" borderId="0" xfId="0" applyFont="1" applyAlignment="1">
      <alignment vertical="top"/>
    </xf>
    <xf numFmtId="0" fontId="12" fillId="0" borderId="0" xfId="0" applyFont="1" applyAlignment="1">
      <alignment horizontal="center" vertical="top"/>
    </xf>
    <xf numFmtId="0" fontId="14" fillId="4" borderId="10"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xf numFmtId="0" fontId="14" fillId="0" borderId="0" xfId="0" applyFont="1" applyAlignment="1"/>
    <xf numFmtId="0" fontId="12" fillId="0" borderId="0" xfId="0" applyFont="1" applyBorder="1" applyAlignment="1">
      <alignment horizontal="center" vertical="top"/>
    </xf>
    <xf numFmtId="0" fontId="0" fillId="0" borderId="0" xfId="0" applyFont="1" applyBorder="1" applyAlignment="1">
      <alignment horizontal="center" vertical="center"/>
    </xf>
    <xf numFmtId="0" fontId="0" fillId="0" borderId="0" xfId="0" applyFont="1" applyBorder="1" applyAlignment="1">
      <alignment horizontal="center" vertical="center" textRotation="180"/>
    </xf>
    <xf numFmtId="0" fontId="0" fillId="0" borderId="0" xfId="0" applyFont="1" applyBorder="1" applyAlignment="1">
      <alignment horizontal="left"/>
    </xf>
    <xf numFmtId="0" fontId="12" fillId="0" borderId="0" xfId="0" applyFont="1" applyBorder="1" applyAlignment="1">
      <alignment horizontal="center"/>
    </xf>
    <xf numFmtId="0" fontId="13" fillId="0" borderId="0" xfId="0" applyFont="1" applyAlignment="1"/>
    <xf numFmtId="0" fontId="12" fillId="0" borderId="0" xfId="0" applyFont="1" applyAlignment="1">
      <alignment horizontal="center"/>
    </xf>
    <xf numFmtId="0" fontId="0" fillId="0" borderId="0" xfId="0" quotePrefix="1" applyAlignment="1"/>
    <xf numFmtId="0" fontId="0" fillId="0" borderId="36" xfId="0" applyBorder="1">
      <alignment vertical="center"/>
    </xf>
    <xf numFmtId="0" fontId="5" fillId="0" borderId="0" xfId="0" applyFont="1" applyProtection="1">
      <alignment vertical="center"/>
    </xf>
    <xf numFmtId="0" fontId="5" fillId="0" borderId="0" xfId="0" applyFont="1" applyFill="1" applyBorder="1" applyAlignment="1" applyProtection="1">
      <alignment horizontal="left" vertical="center"/>
    </xf>
    <xf numFmtId="0" fontId="17" fillId="0" borderId="0" xfId="0" applyFont="1" applyBorder="1" applyAlignment="1">
      <alignment horizontal="center" vertical="center" textRotation="180"/>
    </xf>
    <xf numFmtId="0" fontId="7" fillId="0" borderId="0" xfId="0" applyFont="1" applyBorder="1" applyAlignment="1" applyProtection="1">
      <alignment horizontal="center" vertical="top" wrapText="1"/>
    </xf>
    <xf numFmtId="0" fontId="5" fillId="0" borderId="9" xfId="0" applyFont="1" applyBorder="1" applyAlignment="1" applyProtection="1">
      <alignment vertical="center"/>
    </xf>
    <xf numFmtId="0" fontId="20" fillId="0" borderId="0" xfId="0" applyFont="1" applyProtection="1">
      <alignment vertical="center"/>
    </xf>
    <xf numFmtId="0" fontId="19" fillId="0" borderId="0" xfId="0" applyFont="1" applyAlignment="1" applyProtection="1">
      <alignment vertical="center"/>
    </xf>
    <xf numFmtId="177" fontId="0" fillId="0" borderId="40" xfId="0" applyNumberFormat="1" applyBorder="1" applyAlignment="1">
      <alignment horizontal="center" vertical="center"/>
    </xf>
    <xf numFmtId="0" fontId="0" fillId="6" borderId="21" xfId="0" applyFill="1" applyBorder="1">
      <alignment vertical="center"/>
    </xf>
    <xf numFmtId="0" fontId="0" fillId="6" borderId="28" xfId="0" applyFill="1" applyBorder="1">
      <alignment vertical="center"/>
    </xf>
    <xf numFmtId="177" fontId="0" fillId="0" borderId="0" xfId="0" applyNumberFormat="1" applyBorder="1" applyAlignment="1">
      <alignment horizontal="center" vertical="center"/>
    </xf>
    <xf numFmtId="0" fontId="7" fillId="0" borderId="0" xfId="0" applyFont="1" applyBorder="1" applyAlignment="1" applyProtection="1">
      <alignment horizontal="left" vertical="top" wrapText="1"/>
    </xf>
    <xf numFmtId="0" fontId="10" fillId="0" borderId="0" xfId="0" applyFont="1" applyFill="1" applyBorder="1" applyAlignment="1" applyProtection="1">
      <alignment horizontal="center" vertical="center" wrapText="1"/>
    </xf>
    <xf numFmtId="0" fontId="5" fillId="0" borderId="0" xfId="0" applyFont="1" applyProtection="1">
      <alignment vertical="center"/>
    </xf>
    <xf numFmtId="0" fontId="19" fillId="0" borderId="0" xfId="0" applyFont="1" applyProtection="1">
      <alignment vertical="center"/>
    </xf>
    <xf numFmtId="0" fontId="5" fillId="0" borderId="0" xfId="0" applyFont="1" applyBorder="1" applyAlignment="1" applyProtection="1">
      <alignment horizontal="left" vertical="center"/>
    </xf>
    <xf numFmtId="0" fontId="5" fillId="0" borderId="0" xfId="0" applyFont="1" applyAlignment="1" applyProtection="1">
      <alignment horizontal="left" vertical="center"/>
    </xf>
    <xf numFmtId="0" fontId="5"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wrapText="1"/>
    </xf>
    <xf numFmtId="38" fontId="24" fillId="0" borderId="1" xfId="1" applyFont="1" applyBorder="1" applyAlignment="1">
      <alignment horizontal="center" vertical="center" wrapText="1"/>
    </xf>
    <xf numFmtId="38" fontId="24" fillId="0" borderId="1" xfId="1" applyFont="1" applyBorder="1" applyAlignment="1">
      <alignment horizontal="center" vertical="center"/>
    </xf>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17" fillId="0" borderId="0" xfId="0" applyFont="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horizontal="center" vertical="center"/>
    </xf>
    <xf numFmtId="0" fontId="5" fillId="0" borderId="12" xfId="0" applyFont="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19" fillId="0" borderId="0" xfId="0" applyFont="1" applyProtection="1">
      <alignment vertical="center"/>
    </xf>
    <xf numFmtId="0" fontId="5" fillId="0" borderId="0" xfId="0" applyFont="1" applyBorder="1" applyAlignment="1" applyProtection="1">
      <alignment horizontal="left" vertical="center"/>
    </xf>
    <xf numFmtId="0" fontId="11" fillId="0" borderId="0" xfId="0" applyFont="1" applyFill="1" applyBorder="1" applyAlignment="1" applyProtection="1">
      <alignment horizontal="center" vertical="center" wrapText="1"/>
    </xf>
    <xf numFmtId="0" fontId="7" fillId="0" borderId="0" xfId="0" applyFont="1" applyBorder="1" applyAlignment="1" applyProtection="1">
      <alignment horizontal="left" vertical="top" wrapText="1"/>
    </xf>
    <xf numFmtId="0" fontId="5" fillId="0" borderId="0" xfId="0" applyFont="1" applyAlignment="1" applyProtection="1">
      <alignment vertical="center"/>
    </xf>
    <xf numFmtId="0" fontId="5" fillId="7" borderId="1" xfId="0" applyFont="1" applyFill="1" applyBorder="1" applyAlignment="1" applyProtection="1">
      <alignment vertical="center"/>
    </xf>
    <xf numFmtId="38" fontId="5" fillId="7" borderId="1" xfId="1" applyFont="1" applyFill="1" applyBorder="1" applyProtection="1">
      <alignment vertical="center"/>
    </xf>
    <xf numFmtId="0" fontId="5" fillId="7" borderId="1" xfId="0" applyFont="1" applyFill="1" applyBorder="1" applyProtection="1">
      <alignment vertical="center"/>
    </xf>
    <xf numFmtId="0" fontId="5" fillId="7" borderId="2" xfId="0" applyFont="1" applyFill="1" applyBorder="1" applyProtection="1">
      <alignment vertical="center"/>
    </xf>
    <xf numFmtId="0" fontId="5" fillId="7" borderId="4" xfId="0" applyFont="1" applyFill="1" applyBorder="1" applyProtection="1">
      <alignment vertical="center"/>
    </xf>
    <xf numFmtId="0" fontId="5" fillId="7" borderId="2" xfId="0" applyFont="1" applyFill="1" applyBorder="1" applyAlignment="1" applyProtection="1">
      <alignment vertical="center"/>
    </xf>
    <xf numFmtId="0" fontId="5" fillId="0" borderId="6" xfId="0" applyFont="1" applyFill="1" applyBorder="1" applyProtection="1">
      <alignment vertical="center"/>
    </xf>
    <xf numFmtId="38" fontId="5" fillId="0" borderId="6" xfId="1" applyFont="1" applyFill="1" applyBorder="1" applyProtection="1">
      <alignment vertical="center"/>
    </xf>
    <xf numFmtId="176" fontId="5" fillId="7" borderId="41" xfId="0" applyNumberFormat="1" applyFont="1" applyFill="1" applyBorder="1" applyProtection="1">
      <alignment vertical="center"/>
    </xf>
    <xf numFmtId="176" fontId="5" fillId="7" borderId="1" xfId="0" applyNumberFormat="1" applyFont="1" applyFill="1" applyBorder="1" applyAlignment="1" applyProtection="1">
      <alignment horizontal="center" vertical="center"/>
    </xf>
    <xf numFmtId="0" fontId="5" fillId="7" borderId="1" xfId="0" applyFont="1" applyFill="1" applyBorder="1" applyAlignment="1" applyProtection="1">
      <alignment horizontal="center" vertical="center"/>
    </xf>
    <xf numFmtId="0" fontId="5" fillId="0" borderId="0" xfId="0" applyFont="1" applyBorder="1" applyAlignment="1" applyProtection="1">
      <alignment vertical="center"/>
    </xf>
    <xf numFmtId="38" fontId="8" fillId="0" borderId="0" xfId="1" applyFont="1" applyFill="1" applyBorder="1" applyAlignment="1" applyProtection="1">
      <alignment horizontal="center" vertical="center"/>
    </xf>
    <xf numFmtId="178" fontId="5" fillId="0" borderId="0" xfId="0" applyNumberFormat="1" applyFont="1" applyFill="1" applyBorder="1" applyAlignment="1" applyProtection="1">
      <alignment horizontal="left" vertical="center"/>
    </xf>
    <xf numFmtId="178" fontId="5" fillId="0" borderId="0" xfId="0" applyNumberFormat="1" applyFont="1" applyAlignment="1" applyProtection="1">
      <alignment horizontal="left" vertical="center"/>
    </xf>
    <xf numFmtId="178" fontId="5" fillId="0" borderId="0" xfId="0" quotePrefix="1" applyNumberFormat="1" applyFont="1" applyFill="1" applyBorder="1" applyAlignment="1" applyProtection="1">
      <alignment horizontal="left" vertical="center"/>
    </xf>
    <xf numFmtId="0" fontId="5" fillId="0" borderId="0" xfId="0" applyFont="1" applyFill="1" applyBorder="1" applyProtection="1">
      <alignment vertical="center"/>
    </xf>
    <xf numFmtId="38" fontId="5" fillId="0" borderId="0" xfId="1" applyFont="1" applyFill="1" applyBorder="1" applyProtection="1">
      <alignment vertical="center"/>
    </xf>
    <xf numFmtId="0" fontId="5" fillId="7" borderId="4" xfId="0" applyFont="1" applyFill="1" applyBorder="1" applyAlignment="1" applyProtection="1">
      <alignment vertical="center"/>
    </xf>
    <xf numFmtId="38" fontId="5" fillId="7" borderId="4" xfId="1" applyFont="1" applyFill="1" applyBorder="1" applyProtection="1">
      <alignment vertical="center"/>
    </xf>
    <xf numFmtId="0" fontId="5" fillId="0" borderId="0"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28" fillId="0" borderId="0" xfId="0" applyFont="1">
      <alignment vertical="center"/>
    </xf>
    <xf numFmtId="0" fontId="29" fillId="0" borderId="0" xfId="0" applyFont="1">
      <alignment vertical="center"/>
    </xf>
    <xf numFmtId="0" fontId="31" fillId="0" borderId="0" xfId="0" applyFont="1" applyAlignment="1">
      <alignment vertical="center"/>
    </xf>
    <xf numFmtId="0" fontId="32" fillId="0" borderId="0" xfId="0" applyFont="1">
      <alignment vertical="center"/>
    </xf>
    <xf numFmtId="0" fontId="21" fillId="0" borderId="39" xfId="0" applyFont="1" applyFill="1" applyBorder="1" applyAlignment="1">
      <alignment horizontal="center" vertical="center"/>
    </xf>
    <xf numFmtId="0" fontId="5" fillId="0" borderId="0" xfId="0" applyFont="1" applyProtection="1">
      <alignment vertical="center"/>
    </xf>
    <xf numFmtId="0" fontId="26" fillId="0" borderId="0" xfId="2" applyFont="1" applyAlignment="1" applyProtection="1">
      <alignment vertical="center"/>
    </xf>
    <xf numFmtId="0" fontId="26" fillId="0" borderId="0" xfId="2" applyFont="1" applyAlignment="1" applyProtection="1">
      <alignment horizontal="centerContinuous" vertical="center"/>
    </xf>
    <xf numFmtId="0" fontId="7" fillId="0" borderId="0" xfId="0" applyFont="1" applyBorder="1" applyAlignment="1" applyProtection="1">
      <alignment horizontal="left" vertical="top" wrapText="1"/>
    </xf>
    <xf numFmtId="0" fontId="5" fillId="0" borderId="0" xfId="0" applyFont="1" applyAlignment="1" applyProtection="1">
      <alignment horizontal="left" vertical="center"/>
    </xf>
    <xf numFmtId="178" fontId="5" fillId="0" borderId="0" xfId="0" quotePrefix="1" applyNumberFormat="1" applyFont="1" applyAlignment="1" applyProtection="1">
      <alignment horizontal="right" vertical="center"/>
    </xf>
    <xf numFmtId="0" fontId="6" fillId="0" borderId="0" xfId="3" applyFont="1" applyAlignment="1" applyProtection="1">
      <alignment vertical="center"/>
    </xf>
    <xf numFmtId="0" fontId="34" fillId="0" borderId="0" xfId="3" applyFont="1" applyAlignment="1" applyProtection="1">
      <alignment vertical="center"/>
    </xf>
    <xf numFmtId="0" fontId="34" fillId="0" borderId="0" xfId="3" applyFont="1" applyAlignment="1" applyProtection="1">
      <alignment horizontal="left" vertical="center"/>
    </xf>
    <xf numFmtId="0" fontId="11" fillId="0" borderId="0" xfId="2" applyFont="1" applyProtection="1">
      <alignment vertical="center"/>
    </xf>
    <xf numFmtId="0" fontId="20" fillId="7" borderId="5" xfId="0" applyFont="1" applyFill="1" applyBorder="1" applyProtection="1">
      <alignment vertical="center"/>
    </xf>
    <xf numFmtId="0" fontId="20" fillId="7" borderId="7" xfId="0" applyFont="1" applyFill="1" applyBorder="1" applyProtection="1">
      <alignment vertical="center"/>
    </xf>
    <xf numFmtId="0" fontId="20" fillId="7" borderId="0" xfId="0" applyFont="1" applyFill="1" applyProtection="1">
      <alignment vertical="center"/>
    </xf>
    <xf numFmtId="0" fontId="35" fillId="0" borderId="0" xfId="2" applyFont="1" applyAlignment="1" applyProtection="1">
      <alignment vertical="center"/>
    </xf>
    <xf numFmtId="178" fontId="5" fillId="0" borderId="0" xfId="0" applyNumberFormat="1" applyFont="1" applyAlignment="1" applyProtection="1">
      <alignment horizontal="center"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pplyAlignment="1">
      <alignment horizontal="right" vertical="center"/>
    </xf>
    <xf numFmtId="0" fontId="41" fillId="0" borderId="0" xfId="0" applyFont="1">
      <alignment vertical="center"/>
    </xf>
    <xf numFmtId="0" fontId="42" fillId="4" borderId="0" xfId="0" applyFont="1" applyFill="1" applyAlignment="1" applyProtection="1">
      <alignment horizontal="center" vertical="center"/>
    </xf>
    <xf numFmtId="0" fontId="42" fillId="4" borderId="0" xfId="0" applyFont="1" applyFill="1" applyBorder="1" applyAlignment="1" applyProtection="1">
      <alignment horizontal="center" vertical="center"/>
    </xf>
    <xf numFmtId="0" fontId="44" fillId="0" borderId="0" xfId="0" applyFont="1" applyProtection="1">
      <alignment vertical="center"/>
    </xf>
    <xf numFmtId="38" fontId="44" fillId="0" borderId="0" xfId="1" applyFont="1" applyProtection="1">
      <alignment vertical="center"/>
    </xf>
    <xf numFmtId="38" fontId="37" fillId="0" borderId="0" xfId="0" applyNumberFormat="1" applyFont="1">
      <alignment vertical="center"/>
    </xf>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right" vertical="center"/>
    </xf>
    <xf numFmtId="38" fontId="45" fillId="0" borderId="0" xfId="0" applyNumberFormat="1" applyFont="1">
      <alignment vertical="center"/>
    </xf>
    <xf numFmtId="56" fontId="37" fillId="0" borderId="0" xfId="0" quotePrefix="1" applyNumberFormat="1" applyFont="1" applyAlignment="1">
      <alignment horizontal="right" vertical="center"/>
    </xf>
    <xf numFmtId="38" fontId="39" fillId="0" borderId="0" xfId="1" applyFont="1">
      <alignment vertical="center"/>
    </xf>
    <xf numFmtId="38" fontId="37" fillId="0" borderId="0" xfId="1" applyFont="1">
      <alignment vertical="center"/>
    </xf>
    <xf numFmtId="38" fontId="46" fillId="0" borderId="0" xfId="1" applyFont="1">
      <alignment vertical="center"/>
    </xf>
    <xf numFmtId="38" fontId="46" fillId="0" borderId="0" xfId="1" applyFont="1" applyFill="1">
      <alignment vertical="center"/>
    </xf>
    <xf numFmtId="38" fontId="45" fillId="0" borderId="0" xfId="1" applyFont="1">
      <alignment vertical="center"/>
    </xf>
    <xf numFmtId="38" fontId="37" fillId="0" borderId="0" xfId="1" applyNumberFormat="1" applyFont="1">
      <alignment vertical="center"/>
    </xf>
    <xf numFmtId="0" fontId="47" fillId="0" borderId="0" xfId="0" applyFont="1">
      <alignment vertical="center"/>
    </xf>
    <xf numFmtId="3" fontId="37" fillId="0" borderId="0" xfId="0" applyNumberFormat="1" applyFont="1">
      <alignment vertical="center"/>
    </xf>
    <xf numFmtId="3" fontId="39" fillId="0" borderId="0" xfId="0" applyNumberFormat="1" applyFont="1">
      <alignment vertical="center"/>
    </xf>
    <xf numFmtId="0" fontId="37" fillId="0" borderId="0" xfId="0" applyFont="1" applyAlignment="1">
      <alignment horizontal="left" vertical="center"/>
    </xf>
    <xf numFmtId="0" fontId="39" fillId="0" borderId="0" xfId="0" applyFont="1" applyAlignment="1">
      <alignment horizontal="left" vertical="center"/>
    </xf>
    <xf numFmtId="0" fontId="48" fillId="0" borderId="0" xfId="2" applyFont="1">
      <alignment vertical="center"/>
    </xf>
    <xf numFmtId="0" fontId="6" fillId="0" borderId="1" xfId="2" applyFont="1" applyBorder="1" applyAlignment="1">
      <alignment horizontal="left" vertical="center" indent="1"/>
    </xf>
    <xf numFmtId="0" fontId="49" fillId="0" borderId="0" xfId="2" applyFont="1">
      <alignment vertical="center"/>
    </xf>
    <xf numFmtId="0" fontId="6" fillId="0" borderId="0" xfId="2" applyFont="1" applyAlignment="1">
      <alignment horizontal="left" vertical="center" indent="2"/>
    </xf>
    <xf numFmtId="176" fontId="6" fillId="8" borderId="1" xfId="2" applyNumberFormat="1" applyFont="1" applyFill="1" applyBorder="1" applyAlignment="1" applyProtection="1">
      <alignment horizontal="left" vertical="center" indent="2"/>
      <protection locked="0"/>
    </xf>
    <xf numFmtId="0" fontId="50" fillId="8" borderId="1" xfId="2" applyFont="1" applyFill="1" applyBorder="1" applyAlignment="1" applyProtection="1">
      <alignment horizontal="left" vertical="center" indent="2"/>
      <protection locked="0"/>
    </xf>
    <xf numFmtId="0" fontId="6" fillId="8" borderId="1" xfId="2" applyFont="1" applyFill="1" applyBorder="1" applyAlignment="1" applyProtection="1">
      <alignment horizontal="left" vertical="center" indent="2"/>
      <protection locked="0"/>
    </xf>
    <xf numFmtId="179" fontId="6" fillId="0" borderId="1" xfId="2" applyNumberFormat="1" applyFont="1" applyFill="1" applyBorder="1" applyAlignment="1">
      <alignment horizontal="center" vertical="center"/>
    </xf>
    <xf numFmtId="179" fontId="6" fillId="8" borderId="1" xfId="2" applyNumberFormat="1" applyFont="1" applyFill="1" applyBorder="1" applyAlignment="1" applyProtection="1">
      <alignment horizontal="center" vertical="center"/>
      <protection locked="0"/>
    </xf>
    <xf numFmtId="38" fontId="6" fillId="0" borderId="0" xfId="1" applyFont="1">
      <alignment vertical="center"/>
    </xf>
    <xf numFmtId="0" fontId="6" fillId="0" borderId="0" xfId="2" applyFont="1" applyProtection="1">
      <alignment vertical="center"/>
    </xf>
    <xf numFmtId="176" fontId="6" fillId="0" borderId="0" xfId="2" applyNumberFormat="1" applyFont="1" applyFill="1" applyBorder="1" applyAlignment="1" applyProtection="1">
      <alignment horizontal="left" vertical="center" indent="2"/>
    </xf>
    <xf numFmtId="0" fontId="6" fillId="0" borderId="0" xfId="2" applyFont="1" applyFill="1" applyAlignment="1" applyProtection="1">
      <alignment horizontal="left" vertical="center" indent="2"/>
    </xf>
    <xf numFmtId="180" fontId="6" fillId="0" borderId="1" xfId="2" applyNumberFormat="1" applyFont="1" applyFill="1" applyBorder="1" applyAlignment="1" applyProtection="1">
      <alignment horizontal="center" vertical="center"/>
    </xf>
    <xf numFmtId="0" fontId="6" fillId="0" borderId="0" xfId="2" applyFont="1" applyFill="1" applyBorder="1" applyAlignment="1" applyProtection="1">
      <alignment horizontal="left" vertical="center" indent="2"/>
    </xf>
    <xf numFmtId="0" fontId="6" fillId="0" borderId="1" xfId="2" applyFont="1" applyFill="1" applyBorder="1" applyAlignment="1" applyProtection="1">
      <alignment horizontal="center" vertical="center"/>
    </xf>
    <xf numFmtId="38" fontId="6" fillId="0" borderId="0" xfId="1" applyFont="1" applyProtection="1">
      <alignment vertical="center"/>
    </xf>
    <xf numFmtId="0" fontId="51" fillId="0" borderId="0" xfId="2" applyFont="1">
      <alignment vertical="center"/>
    </xf>
    <xf numFmtId="38" fontId="37" fillId="0" borderId="0" xfId="1" applyFont="1" applyFill="1">
      <alignment vertical="center"/>
    </xf>
    <xf numFmtId="0" fontId="36" fillId="0" borderId="0" xfId="3" applyFont="1" applyAlignment="1">
      <alignment vertical="center"/>
    </xf>
    <xf numFmtId="0" fontId="36" fillId="0" borderId="0" xfId="3" applyFont="1" applyAlignment="1" applyProtection="1">
      <alignment vertical="center"/>
    </xf>
    <xf numFmtId="38" fontId="43" fillId="0" borderId="6" xfId="1" applyFont="1" applyBorder="1" applyAlignment="1" applyProtection="1">
      <alignment horizontal="center" vertical="center"/>
    </xf>
    <xf numFmtId="38" fontId="43" fillId="4" borderId="7" xfId="0" applyNumberFormat="1" applyFont="1" applyFill="1" applyBorder="1" applyAlignment="1" applyProtection="1">
      <alignment horizontal="center" vertical="center"/>
    </xf>
    <xf numFmtId="0" fontId="43" fillId="4" borderId="41" xfId="0" applyFont="1" applyFill="1" applyBorder="1" applyAlignment="1" applyProtection="1">
      <alignment horizontal="center" vertical="center"/>
    </xf>
    <xf numFmtId="0" fontId="43" fillId="4" borderId="5" xfId="0" applyFont="1" applyFill="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5" fillId="7" borderId="7" xfId="0" applyFont="1" applyFill="1" applyBorder="1" applyAlignment="1" applyProtection="1">
      <alignment horizontal="center" vertical="center" wrapText="1"/>
    </xf>
    <xf numFmtId="0" fontId="5" fillId="7" borderId="12" xfId="0" applyFont="1" applyFill="1" applyBorder="1" applyAlignment="1" applyProtection="1">
      <alignment horizontal="center" vertical="center" wrapText="1"/>
    </xf>
    <xf numFmtId="0" fontId="5" fillId="7" borderId="10" xfId="0" applyFont="1" applyFill="1" applyBorder="1" applyAlignment="1" applyProtection="1">
      <alignment horizontal="center" vertical="center" wrapText="1"/>
    </xf>
    <xf numFmtId="0" fontId="5" fillId="7" borderId="41" xfId="0" applyFont="1" applyFill="1" applyBorder="1" applyAlignment="1" applyProtection="1">
      <alignment horizontal="center" vertical="center" wrapText="1"/>
    </xf>
    <xf numFmtId="0" fontId="5" fillId="7" borderId="43" xfId="0" applyFont="1" applyFill="1" applyBorder="1" applyAlignment="1" applyProtection="1">
      <alignment horizontal="center" vertical="center" wrapText="1"/>
    </xf>
    <xf numFmtId="0" fontId="5" fillId="7" borderId="42"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xf>
    <xf numFmtId="38" fontId="8" fillId="4" borderId="1" xfId="0" applyNumberFormat="1" applyFont="1" applyFill="1" applyBorder="1" applyAlignment="1" applyProtection="1">
      <alignment horizontal="center" vertical="center"/>
    </xf>
    <xf numFmtId="0" fontId="8" fillId="4" borderId="1" xfId="0" applyFont="1" applyFill="1" applyBorder="1" applyAlignment="1" applyProtection="1">
      <alignment horizontal="center" vertical="center"/>
    </xf>
    <xf numFmtId="0" fontId="23" fillId="0" borderId="11" xfId="0" applyFont="1" applyBorder="1" applyAlignment="1" applyProtection="1">
      <alignment horizontal="center" vertical="center" wrapText="1"/>
    </xf>
    <xf numFmtId="0" fontId="23" fillId="0" borderId="0" xfId="0" applyFont="1" applyBorder="1" applyAlignment="1" applyProtection="1">
      <alignment horizontal="center" vertical="center"/>
    </xf>
    <xf numFmtId="38" fontId="43" fillId="0" borderId="0" xfId="0" applyNumberFormat="1" applyFont="1" applyBorder="1" applyAlignment="1" applyProtection="1">
      <alignment horizontal="center" vertical="center"/>
    </xf>
    <xf numFmtId="0" fontId="23" fillId="0" borderId="12"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11" xfId="0" applyFont="1" applyFill="1" applyBorder="1" applyAlignment="1">
      <alignment horizontal="center" vertical="center"/>
    </xf>
    <xf numFmtId="177" fontId="5" fillId="0" borderId="12" xfId="0" applyNumberFormat="1" applyFont="1" applyFill="1" applyBorder="1" applyAlignment="1">
      <alignment horizontal="center" vertical="center"/>
    </xf>
    <xf numFmtId="177" fontId="5" fillId="0" borderId="43" xfId="0" applyNumberFormat="1" applyFont="1" applyFill="1" applyBorder="1" applyAlignment="1">
      <alignment horizontal="center" vertical="center"/>
    </xf>
    <xf numFmtId="177" fontId="5" fillId="0" borderId="11" xfId="0" applyNumberFormat="1" applyFont="1" applyFill="1" applyBorder="1" applyAlignment="1">
      <alignment horizontal="center" vertical="center"/>
    </xf>
    <xf numFmtId="0" fontId="5" fillId="0" borderId="11"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5" fillId="0" borderId="5" xfId="0" applyFont="1" applyBorder="1" applyAlignment="1" applyProtection="1">
      <alignment horizontal="center" vertical="center"/>
    </xf>
    <xf numFmtId="0" fontId="10" fillId="4" borderId="0" xfId="0" applyFont="1" applyFill="1" applyBorder="1" applyAlignment="1" applyProtection="1">
      <alignment horizontal="center" vertical="center" wrapText="1"/>
    </xf>
    <xf numFmtId="0" fontId="11" fillId="3" borderId="25" xfId="0"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wrapText="1"/>
      <protection locked="0"/>
    </xf>
    <xf numFmtId="0" fontId="11" fillId="3" borderId="27" xfId="0" applyFont="1" applyFill="1" applyBorder="1" applyAlignment="1" applyProtection="1">
      <alignment horizontal="center" vertical="center" wrapText="1"/>
      <protection locked="0"/>
    </xf>
    <xf numFmtId="0" fontId="11" fillId="0" borderId="38"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6" fillId="2" borderId="34"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38" fontId="11" fillId="3" borderId="25" xfId="1" applyFont="1" applyFill="1" applyBorder="1" applyAlignment="1" applyProtection="1">
      <alignment horizontal="center" vertical="center" wrapText="1"/>
      <protection locked="0"/>
    </xf>
    <xf numFmtId="38" fontId="11" fillId="3" borderId="26" xfId="1" applyFont="1" applyFill="1" applyBorder="1" applyAlignment="1" applyProtection="1">
      <alignment horizontal="center" vertical="center" wrapText="1"/>
      <protection locked="0"/>
    </xf>
    <xf numFmtId="38" fontId="11" fillId="3" borderId="27" xfId="1" applyFont="1" applyFill="1" applyBorder="1" applyAlignment="1" applyProtection="1">
      <alignment horizontal="center" vertical="center" wrapText="1"/>
      <protection locked="0"/>
    </xf>
    <xf numFmtId="0" fontId="16" fillId="4" borderId="0"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38" fontId="8" fillId="0" borderId="1" xfId="1"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23" fillId="2" borderId="1" xfId="0" applyFont="1" applyFill="1" applyBorder="1" applyAlignment="1" applyProtection="1">
      <alignment horizontal="center" vertical="center" wrapText="1"/>
    </xf>
    <xf numFmtId="0" fontId="23" fillId="2" borderId="1" xfId="0" applyFont="1" applyFill="1" applyBorder="1" applyAlignment="1" applyProtection="1">
      <alignment horizontal="center" vertical="center"/>
    </xf>
    <xf numFmtId="0" fontId="5" fillId="3" borderId="16" xfId="0" applyNumberFormat="1" applyFont="1" applyFill="1" applyBorder="1" applyAlignment="1" applyProtection="1">
      <alignment horizontal="center" vertical="center"/>
      <protection locked="0"/>
    </xf>
    <xf numFmtId="0" fontId="5" fillId="3" borderId="3" xfId="0" applyNumberFormat="1" applyFont="1" applyFill="1" applyBorder="1" applyAlignment="1" applyProtection="1">
      <alignment horizontal="center" vertical="center"/>
      <protection locked="0"/>
    </xf>
    <xf numFmtId="0" fontId="5" fillId="3" borderId="17" xfId="0" applyNumberFormat="1" applyFont="1" applyFill="1" applyBorder="1" applyAlignment="1" applyProtection="1">
      <alignment horizontal="center" vertical="center"/>
      <protection locked="0"/>
    </xf>
    <xf numFmtId="0" fontId="5" fillId="3" borderId="16" xfId="0" applyNumberFormat="1" applyFont="1" applyFill="1" applyBorder="1" applyAlignment="1" applyProtection="1">
      <alignment horizontal="left" vertical="center"/>
      <protection locked="0"/>
    </xf>
    <xf numFmtId="0" fontId="5" fillId="3" borderId="3" xfId="0" applyNumberFormat="1" applyFont="1" applyFill="1" applyBorder="1" applyAlignment="1" applyProtection="1">
      <alignment horizontal="left" vertical="center"/>
      <protection locked="0"/>
    </xf>
    <xf numFmtId="0" fontId="5" fillId="3" borderId="17" xfId="0" applyNumberFormat="1" applyFont="1" applyFill="1" applyBorder="1" applyAlignment="1" applyProtection="1">
      <alignment horizontal="left" vertical="center"/>
      <protection locked="0"/>
    </xf>
    <xf numFmtId="12" fontId="5" fillId="0" borderId="3" xfId="0" applyNumberFormat="1" applyFont="1" applyBorder="1" applyAlignment="1" applyProtection="1">
      <alignment horizontal="center" vertical="center"/>
    </xf>
    <xf numFmtId="0" fontId="5" fillId="3" borderId="18" xfId="0" applyNumberFormat="1" applyFont="1" applyFill="1" applyBorder="1" applyAlignment="1" applyProtection="1">
      <alignment horizontal="center" vertical="center"/>
      <protection locked="0"/>
    </xf>
    <xf numFmtId="0" fontId="5" fillId="3" borderId="19" xfId="0" applyNumberFormat="1" applyFont="1" applyFill="1" applyBorder="1" applyAlignment="1" applyProtection="1">
      <alignment horizontal="center" vertical="center"/>
      <protection locked="0"/>
    </xf>
    <xf numFmtId="0" fontId="5" fillId="3" borderId="20" xfId="0" applyNumberFormat="1" applyFont="1" applyFill="1" applyBorder="1" applyAlignment="1" applyProtection="1">
      <alignment horizontal="center" vertical="center"/>
      <protection locked="0"/>
    </xf>
    <xf numFmtId="0" fontId="5" fillId="3" borderId="18" xfId="0" applyNumberFormat="1" applyFont="1" applyFill="1" applyBorder="1" applyAlignment="1" applyProtection="1">
      <alignment horizontal="left" vertical="center"/>
      <protection locked="0"/>
    </xf>
    <xf numFmtId="0" fontId="5" fillId="3" borderId="19" xfId="0" applyNumberFormat="1" applyFont="1" applyFill="1" applyBorder="1" applyAlignment="1" applyProtection="1">
      <alignment horizontal="left" vertical="center"/>
      <protection locked="0"/>
    </xf>
    <xf numFmtId="0" fontId="5" fillId="3" borderId="20" xfId="0" applyNumberFormat="1" applyFont="1" applyFill="1" applyBorder="1" applyAlignment="1" applyProtection="1">
      <alignment horizontal="left" vertical="center"/>
      <protection locked="0"/>
    </xf>
    <xf numFmtId="0" fontId="10" fillId="2" borderId="1" xfId="0" applyFont="1" applyFill="1" applyBorder="1" applyAlignment="1" applyProtection="1">
      <alignment horizontal="center" vertical="center" wrapText="1"/>
    </xf>
    <xf numFmtId="38" fontId="9" fillId="0" borderId="1" xfId="1" applyFont="1" applyBorder="1" applyAlignment="1" applyProtection="1">
      <alignment horizontal="center" vertical="center"/>
    </xf>
    <xf numFmtId="0" fontId="7" fillId="0" borderId="0" xfId="0" applyFont="1" applyBorder="1" applyAlignment="1" applyProtection="1">
      <alignment horizontal="left" vertical="top" wrapText="1"/>
    </xf>
    <xf numFmtId="38" fontId="43" fillId="4" borderId="6" xfId="1" applyFont="1" applyFill="1" applyBorder="1" applyAlignment="1" applyProtection="1">
      <alignment horizontal="center" vertical="center"/>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3" borderId="13" xfId="0" applyNumberFormat="1" applyFont="1" applyFill="1" applyBorder="1" applyAlignment="1" applyProtection="1">
      <alignment horizontal="left" vertical="center"/>
      <protection locked="0"/>
    </xf>
    <xf numFmtId="0" fontId="5" fillId="3" borderId="14" xfId="0" applyNumberFormat="1" applyFont="1" applyFill="1" applyBorder="1" applyAlignment="1" applyProtection="1">
      <alignment horizontal="left" vertical="center"/>
      <protection locked="0"/>
    </xf>
    <xf numFmtId="0" fontId="5" fillId="3" borderId="15" xfId="0" applyNumberFormat="1" applyFont="1" applyFill="1" applyBorder="1" applyAlignment="1" applyProtection="1">
      <alignment horizontal="left" vertical="center"/>
      <protection locked="0"/>
    </xf>
    <xf numFmtId="0" fontId="30" fillId="2" borderId="1" xfId="0" applyFont="1" applyFill="1" applyBorder="1" applyAlignment="1" applyProtection="1">
      <alignment horizontal="center" vertical="center"/>
    </xf>
    <xf numFmtId="0" fontId="5" fillId="3" borderId="13" xfId="0" applyNumberFormat="1" applyFont="1" applyFill="1" applyBorder="1" applyAlignment="1" applyProtection="1">
      <alignment horizontal="center" vertical="center"/>
      <protection locked="0"/>
    </xf>
    <xf numFmtId="0" fontId="5" fillId="3" borderId="14" xfId="0" applyNumberFormat="1" applyFont="1" applyFill="1" applyBorder="1" applyAlignment="1" applyProtection="1">
      <alignment horizontal="center" vertical="center"/>
      <protection locked="0"/>
    </xf>
    <xf numFmtId="0" fontId="5" fillId="3" borderId="15" xfId="0" applyNumberFormat="1" applyFont="1" applyFill="1" applyBorder="1" applyAlignment="1" applyProtection="1">
      <alignment horizontal="center" vertical="center"/>
      <protection locked="0"/>
    </xf>
    <xf numFmtId="0" fontId="0" fillId="6" borderId="22" xfId="0" applyFill="1" applyBorder="1" applyAlignment="1">
      <alignment horizontal="center" vertical="center"/>
    </xf>
    <xf numFmtId="0" fontId="0" fillId="6" borderId="23" xfId="0" applyFill="1" applyBorder="1" applyAlignment="1">
      <alignment horizontal="center" vertical="center"/>
    </xf>
    <xf numFmtId="177" fontId="0" fillId="4" borderId="1" xfId="0" applyNumberFormat="1" applyFill="1" applyBorder="1" applyAlignment="1">
      <alignment horizontal="center" vertical="center"/>
    </xf>
    <xf numFmtId="0" fontId="22" fillId="4" borderId="1" xfId="0" applyFont="1" applyFill="1" applyBorder="1" applyAlignment="1">
      <alignment horizontal="center" vertical="center"/>
    </xf>
    <xf numFmtId="0" fontId="14" fillId="4" borderId="7" xfId="0" applyFont="1" applyFill="1" applyBorder="1" applyAlignment="1">
      <alignment horizontal="center" vertical="center"/>
    </xf>
    <xf numFmtId="0" fontId="15" fillId="4" borderId="10" xfId="0" applyFont="1" applyFill="1" applyBorder="1" applyAlignment="1">
      <alignment horizontal="center" vertical="center"/>
    </xf>
    <xf numFmtId="38" fontId="0" fillId="5" borderId="9" xfId="1" applyFont="1" applyFill="1" applyBorder="1" applyAlignment="1">
      <alignment horizontal="center"/>
    </xf>
    <xf numFmtId="0" fontId="12" fillId="0" borderId="6" xfId="0" applyFont="1" applyBorder="1" applyAlignment="1">
      <alignment horizontal="center" vertical="top"/>
    </xf>
    <xf numFmtId="38" fontId="0" fillId="5" borderId="9" xfId="1" applyFont="1" applyFill="1" applyBorder="1" applyAlignment="1">
      <alignment horizontal="right" indent="1"/>
    </xf>
    <xf numFmtId="0" fontId="12" fillId="0" borderId="0" xfId="0" applyFont="1" applyAlignment="1">
      <alignment horizontal="center" vertical="top"/>
    </xf>
    <xf numFmtId="38" fontId="0" fillId="5" borderId="8" xfId="1" applyFont="1" applyFill="1" applyBorder="1" applyAlignment="1">
      <alignment horizontal="right" vertical="center"/>
    </xf>
    <xf numFmtId="38" fontId="0" fillId="5" borderId="9" xfId="1" applyFont="1" applyFill="1" applyBorder="1" applyAlignment="1">
      <alignment horizontal="right" vertical="center"/>
    </xf>
    <xf numFmtId="38" fontId="0" fillId="5" borderId="9" xfId="1" applyFont="1" applyFill="1" applyBorder="1" applyAlignment="1">
      <alignment horizontal="center" vertical="center"/>
    </xf>
    <xf numFmtId="38" fontId="0" fillId="5" borderId="8" xfId="0" applyNumberFormat="1" applyFill="1" applyBorder="1" applyAlignment="1">
      <alignment horizontal="right" vertical="center"/>
    </xf>
    <xf numFmtId="0" fontId="0" fillId="5" borderId="9" xfId="0" applyFill="1" applyBorder="1" applyAlignment="1">
      <alignment horizontal="right" vertical="center"/>
    </xf>
    <xf numFmtId="38" fontId="0" fillId="5" borderId="5" xfId="0" applyNumberFormat="1" applyFill="1" applyBorder="1" applyAlignment="1">
      <alignment vertical="center"/>
    </xf>
    <xf numFmtId="0" fontId="0" fillId="5" borderId="6" xfId="0"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27" fillId="0" borderId="0" xfId="0" applyFont="1" applyAlignment="1">
      <alignment horizontal="left" vertical="top" wrapText="1"/>
    </xf>
    <xf numFmtId="0" fontId="14"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38" fontId="0" fillId="5" borderId="0" xfId="0" applyNumberFormat="1" applyFill="1" applyAlignment="1">
      <alignment horizontal="right" vertical="center"/>
    </xf>
    <xf numFmtId="0" fontId="0" fillId="5" borderId="0" xfId="0" applyFill="1" applyAlignment="1">
      <alignment horizontal="right" vertical="center"/>
    </xf>
    <xf numFmtId="0" fontId="0" fillId="0" borderId="0" xfId="0" applyAlignment="1">
      <alignment horizontal="left" vertical="top" wrapText="1"/>
    </xf>
    <xf numFmtId="0" fontId="0" fillId="0" borderId="0" xfId="0" applyAlignment="1">
      <alignment horizontal="left" vertical="top"/>
    </xf>
  </cellXfs>
  <cellStyles count="4">
    <cellStyle name="ハイパーリンク" xfId="3" builtinId="8"/>
    <cellStyle name="桁区切り" xfId="1" builtinId="6"/>
    <cellStyle name="標準" xfId="0" builtinId="0"/>
    <cellStyle name="標準 2" xfId="2" xr:uid="{00000000-0005-0000-0000-000002000000}"/>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1466850</xdr:colOff>
      <xdr:row>17</xdr:row>
      <xdr:rowOff>161925</xdr:rowOff>
    </xdr:from>
    <xdr:to>
      <xdr:col>1</xdr:col>
      <xdr:colOff>2590800</xdr:colOff>
      <xdr:row>20</xdr:row>
      <xdr:rowOff>38100</xdr:rowOff>
    </xdr:to>
    <xdr:sp macro="" textlink="">
      <xdr:nvSpPr>
        <xdr:cNvPr id="2" name="下矢印 1">
          <a:extLst>
            <a:ext uri="{FF2B5EF4-FFF2-40B4-BE49-F238E27FC236}">
              <a16:creationId xmlns:a16="http://schemas.microsoft.com/office/drawing/2014/main" id="{00000000-0008-0000-0200-000002000000}"/>
            </a:ext>
          </a:extLst>
        </xdr:cNvPr>
        <xdr:cNvSpPr/>
      </xdr:nvSpPr>
      <xdr:spPr>
        <a:xfrm>
          <a:off x="2952750" y="3533775"/>
          <a:ext cx="1123950" cy="590550"/>
        </a:xfrm>
        <a:prstGeom prst="downArrow">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po.go.jp/system/patent/pct/tesuryo/pct_fee_process.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AX56"/>
  <sheetViews>
    <sheetView showGridLines="0" tabSelected="1" zoomScale="80" zoomScaleNormal="80" workbookViewId="0"/>
  </sheetViews>
  <sheetFormatPr defaultColWidth="9" defaultRowHeight="18.75" customHeight="1" x14ac:dyDescent="0.4"/>
  <cols>
    <col min="1" max="1" width="4.25" style="7" customWidth="1"/>
    <col min="2" max="10" width="3.25" style="7" customWidth="1"/>
    <col min="11" max="26" width="3" style="7" customWidth="1"/>
    <col min="27" max="28" width="3.375" style="7" customWidth="1"/>
    <col min="29" max="29" width="3.875" style="7" customWidth="1"/>
    <col min="30" max="30" width="3.375" style="7" customWidth="1"/>
    <col min="31" max="36" width="3" style="85" customWidth="1"/>
    <col min="37" max="40" width="3.625" style="85" customWidth="1"/>
    <col min="41" max="41" width="2.25" style="85" customWidth="1"/>
    <col min="42" max="42" width="2.75" style="73" hidden="1" customWidth="1"/>
    <col min="43" max="50" width="12.625" style="7" hidden="1" customWidth="1"/>
    <col min="51" max="64" width="9" style="7" customWidth="1"/>
    <col min="65" max="16384" width="9" style="7"/>
  </cols>
  <sheetData>
    <row r="1" spans="1:46" s="65" customFormat="1" ht="18.75" customHeight="1" x14ac:dyDescent="0.4">
      <c r="A1" s="124" t="s">
        <v>132</v>
      </c>
      <c r="B1" s="124"/>
      <c r="C1" s="124"/>
      <c r="D1" s="124"/>
      <c r="E1" s="124"/>
      <c r="F1" s="124"/>
      <c r="G1" s="124"/>
      <c r="H1" s="124"/>
      <c r="I1" s="124"/>
      <c r="J1" s="124"/>
      <c r="K1" s="124"/>
      <c r="L1" s="124"/>
      <c r="M1" s="124"/>
      <c r="N1" s="124"/>
      <c r="O1" s="124"/>
      <c r="P1" s="124"/>
      <c r="Q1" s="124"/>
      <c r="R1" s="124"/>
      <c r="S1" s="124"/>
      <c r="T1" s="124"/>
      <c r="U1" s="124"/>
      <c r="V1" s="124"/>
      <c r="W1" s="135" t="str">
        <f>"（適用日：" &amp; TEXT(AS$1,"[DBNum3]yyyy年 m月 d日") &amp; "）"</f>
        <v>（適用日：２０２５年 １０月 １日）</v>
      </c>
      <c r="X1" s="124"/>
      <c r="Y1" s="124"/>
      <c r="AA1" s="123"/>
      <c r="AB1" s="123"/>
      <c r="AC1" s="123"/>
      <c r="AD1" s="123"/>
      <c r="AE1" s="123"/>
      <c r="AF1" s="123"/>
      <c r="AG1" s="123"/>
      <c r="AH1" s="123"/>
      <c r="AI1" s="123"/>
      <c r="AJ1" s="123"/>
      <c r="AK1" s="123"/>
      <c r="AL1" s="123"/>
      <c r="AM1" s="123"/>
      <c r="AN1" s="123"/>
      <c r="AO1" s="123"/>
      <c r="AP1" s="131"/>
      <c r="AQ1" s="132" t="s">
        <v>27</v>
      </c>
      <c r="AR1" s="133"/>
      <c r="AS1" s="103">
        <f>料金テーブル表!B2</f>
        <v>45931</v>
      </c>
      <c r="AT1" s="134"/>
    </row>
    <row r="2" spans="1:46" ht="18.75" customHeight="1" x14ac:dyDescent="0.4">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Q2" s="98" t="s">
        <v>114</v>
      </c>
      <c r="AR2" s="99"/>
      <c r="AS2" s="104" t="s">
        <v>113</v>
      </c>
      <c r="AT2" s="105" t="s">
        <v>112</v>
      </c>
    </row>
    <row r="3" spans="1:46" ht="18.75" customHeight="1" x14ac:dyDescent="0.4">
      <c r="A3" s="94" t="s">
        <v>125</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86"/>
      <c r="AF3" s="86"/>
      <c r="AG3" s="86"/>
      <c r="AH3" s="86"/>
      <c r="AI3" s="86"/>
      <c r="AJ3" s="86"/>
      <c r="AK3" s="86"/>
      <c r="AL3" s="86"/>
      <c r="AM3" s="86"/>
      <c r="AN3" s="86"/>
      <c r="AO3" s="86"/>
      <c r="AP3" s="76"/>
      <c r="AQ3" s="98" t="s">
        <v>21</v>
      </c>
      <c r="AR3" s="99"/>
      <c r="AS3" s="96">
        <f>VLOOKUP(AS$1,料金テーブル,AT3,FALSE)</f>
        <v>17000</v>
      </c>
      <c r="AT3" s="97">
        <v>2</v>
      </c>
    </row>
    <row r="4" spans="1:46" ht="18.75" customHeight="1" x14ac:dyDescent="0.4">
      <c r="A4" s="127" t="s">
        <v>126</v>
      </c>
      <c r="B4" s="94" t="s">
        <v>136</v>
      </c>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126"/>
      <c r="AF4" s="126"/>
      <c r="AG4" s="126"/>
      <c r="AH4" s="126"/>
      <c r="AI4" s="126"/>
      <c r="AJ4" s="126"/>
      <c r="AK4" s="126"/>
      <c r="AL4" s="126"/>
      <c r="AM4" s="126"/>
      <c r="AN4" s="106"/>
      <c r="AO4" s="106"/>
      <c r="AP4" s="106"/>
      <c r="AQ4" s="98" t="s">
        <v>90</v>
      </c>
      <c r="AR4" s="99"/>
      <c r="AS4" s="96">
        <f>VLOOKUP(AS$1,料金テーブル,AT4,FALSE)</f>
        <v>143000</v>
      </c>
      <c r="AT4" s="97">
        <v>3</v>
      </c>
    </row>
    <row r="5" spans="1:46" s="122" customFormat="1" ht="18.75" customHeight="1" x14ac:dyDescent="0.4">
      <c r="B5" s="122" t="s">
        <v>179</v>
      </c>
      <c r="Z5" s="129"/>
      <c r="AA5" s="129"/>
      <c r="AB5" s="129"/>
      <c r="AC5" s="129"/>
      <c r="AD5" s="129"/>
      <c r="AE5" s="129"/>
      <c r="AF5" s="129"/>
      <c r="AG5" s="106"/>
      <c r="AH5" s="106"/>
      <c r="AI5" s="106"/>
      <c r="AJ5" s="106"/>
      <c r="AK5" s="106"/>
      <c r="AL5" s="106"/>
      <c r="AM5" s="106"/>
      <c r="AN5" s="106"/>
      <c r="AO5" s="106"/>
      <c r="AP5" s="106"/>
      <c r="AQ5" s="98" t="s">
        <v>32</v>
      </c>
      <c r="AR5" s="99"/>
      <c r="AS5" s="96">
        <f>VLOOKUP(AS$1,料金テーブル,AT5,FALSE)</f>
        <v>242700</v>
      </c>
      <c r="AT5" s="97">
        <v>6</v>
      </c>
    </row>
    <row r="6" spans="1:46" s="122" customFormat="1" ht="18.75" customHeight="1" x14ac:dyDescent="0.4">
      <c r="A6" s="127"/>
      <c r="B6" s="128"/>
      <c r="C6" s="129"/>
      <c r="D6" s="182" t="s">
        <v>177</v>
      </c>
      <c r="E6" s="182"/>
      <c r="F6" s="182"/>
      <c r="G6" s="182"/>
      <c r="H6" s="182"/>
      <c r="I6" s="182"/>
      <c r="J6" s="182"/>
      <c r="K6" s="182"/>
      <c r="L6" s="182"/>
      <c r="M6" s="182"/>
      <c r="N6" s="182"/>
      <c r="O6" s="182"/>
      <c r="P6" s="182"/>
      <c r="Q6" s="182"/>
      <c r="R6" s="182"/>
      <c r="S6" s="182"/>
      <c r="T6" s="182"/>
      <c r="U6" s="182"/>
      <c r="V6" s="182"/>
      <c r="W6" s="182"/>
      <c r="X6" s="182"/>
      <c r="Y6" s="182"/>
      <c r="Z6" s="94"/>
      <c r="AA6" s="94"/>
      <c r="AB6" s="94"/>
      <c r="AC6" s="94"/>
      <c r="AD6" s="106"/>
      <c r="AE6" s="106"/>
      <c r="AF6" s="106"/>
      <c r="AG6" s="106"/>
      <c r="AH6" s="106"/>
      <c r="AI6" s="106"/>
      <c r="AJ6" s="106"/>
      <c r="AK6" s="106"/>
      <c r="AL6" s="106"/>
      <c r="AM6" s="106"/>
      <c r="AN6" s="106"/>
      <c r="AO6" s="106"/>
      <c r="AP6" s="106"/>
      <c r="AQ6" s="98" t="s">
        <v>33</v>
      </c>
      <c r="AR6" s="99"/>
      <c r="AS6" s="96">
        <f t="shared" ref="AS6:AS12" si="0">VLOOKUP(AS$1,料金テーブル,AT6,FALSE)</f>
        <v>2700</v>
      </c>
      <c r="AT6" s="97">
        <v>7</v>
      </c>
    </row>
    <row r="7" spans="1:46" s="122" customFormat="1" ht="18.75" customHeight="1" x14ac:dyDescent="0.4">
      <c r="A7" s="127" t="s">
        <v>126</v>
      </c>
      <c r="B7" s="94" t="s">
        <v>133</v>
      </c>
      <c r="D7" s="94"/>
      <c r="E7" s="94"/>
      <c r="F7" s="94"/>
      <c r="G7" s="94"/>
      <c r="H7" s="94"/>
      <c r="I7" s="94"/>
      <c r="J7" s="94"/>
      <c r="K7" s="94"/>
      <c r="L7" s="94"/>
      <c r="M7" s="94"/>
      <c r="N7" s="94"/>
      <c r="O7" s="94"/>
      <c r="P7" s="94"/>
      <c r="Q7" s="94"/>
      <c r="R7" s="94"/>
      <c r="S7" s="94"/>
      <c r="T7" s="94"/>
      <c r="U7" s="94"/>
      <c r="V7" s="94"/>
      <c r="W7" s="94"/>
      <c r="X7" s="94"/>
      <c r="Y7" s="94"/>
      <c r="Z7" s="130"/>
      <c r="AA7" s="130"/>
      <c r="AB7" s="130"/>
      <c r="AC7" s="130"/>
      <c r="AD7" s="130"/>
      <c r="AE7" s="130"/>
      <c r="AF7" s="130"/>
      <c r="AG7" s="130"/>
      <c r="AH7" s="130"/>
      <c r="AI7" s="130"/>
      <c r="AJ7" s="130"/>
      <c r="AK7" s="130"/>
      <c r="AL7" s="130"/>
      <c r="AM7" s="130"/>
      <c r="AN7" s="106"/>
      <c r="AO7" s="106"/>
      <c r="AP7" s="106"/>
      <c r="AQ7" s="98" t="s">
        <v>34</v>
      </c>
      <c r="AR7" s="99"/>
      <c r="AS7" s="96">
        <f t="shared" si="0"/>
        <v>54700</v>
      </c>
      <c r="AT7" s="97">
        <v>8</v>
      </c>
    </row>
    <row r="8" spans="1:46" ht="18.75" customHeight="1" x14ac:dyDescent="0.4">
      <c r="A8" s="122"/>
      <c r="B8" s="128" t="s">
        <v>178</v>
      </c>
      <c r="C8" s="129"/>
      <c r="E8" s="129"/>
      <c r="F8" s="129"/>
      <c r="G8" s="129"/>
      <c r="H8" s="122"/>
      <c r="I8" s="130"/>
      <c r="J8" s="130"/>
      <c r="K8" s="130"/>
      <c r="L8" s="130"/>
      <c r="M8" s="130"/>
      <c r="N8" s="130"/>
      <c r="O8" s="130"/>
      <c r="P8" s="130"/>
      <c r="Q8" s="130"/>
      <c r="R8" s="130"/>
      <c r="S8" s="130"/>
      <c r="T8" s="130"/>
      <c r="U8" s="130"/>
      <c r="V8" s="130"/>
      <c r="W8" s="130"/>
      <c r="X8" s="130"/>
      <c r="Y8" s="130"/>
      <c r="Z8" s="94"/>
      <c r="AA8" s="94"/>
      <c r="AB8" s="94"/>
      <c r="AC8" s="94"/>
      <c r="AD8" s="106"/>
      <c r="AE8" s="106"/>
      <c r="AF8" s="106"/>
      <c r="AG8" s="106"/>
      <c r="AH8" s="106"/>
      <c r="AI8" s="106"/>
      <c r="AJ8" s="106"/>
      <c r="AK8" s="106"/>
      <c r="AL8" s="106"/>
      <c r="AM8" s="106"/>
      <c r="AN8" s="106"/>
      <c r="AO8" s="106"/>
      <c r="AP8" s="106"/>
      <c r="AQ8" s="98" t="s">
        <v>85</v>
      </c>
      <c r="AR8" s="99"/>
      <c r="AS8" s="96">
        <f t="shared" si="0"/>
        <v>34000</v>
      </c>
      <c r="AT8" s="97">
        <v>9</v>
      </c>
    </row>
    <row r="9" spans="1:46" s="11" customFormat="1" ht="18.75" customHeight="1" x14ac:dyDescent="0.4">
      <c r="C9" s="94"/>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06"/>
      <c r="AM9" s="106"/>
      <c r="AN9" s="106"/>
      <c r="AO9" s="106"/>
      <c r="AP9" s="106"/>
      <c r="AQ9" s="100" t="s">
        <v>86</v>
      </c>
      <c r="AR9" s="99"/>
      <c r="AS9" s="96">
        <f t="shared" si="0"/>
        <v>36500</v>
      </c>
      <c r="AT9" s="97">
        <v>10</v>
      </c>
    </row>
    <row r="10" spans="1:46" s="11" customFormat="1" ht="18.75" customHeight="1" x14ac:dyDescent="0.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106"/>
      <c r="AE10" s="106"/>
      <c r="AF10" s="106"/>
      <c r="AG10" s="106"/>
      <c r="AH10" s="106"/>
      <c r="AI10" s="106"/>
      <c r="AJ10" s="106"/>
      <c r="AK10" s="106"/>
      <c r="AL10" s="106"/>
      <c r="AM10" s="106"/>
      <c r="AN10" s="106"/>
      <c r="AO10" s="106"/>
      <c r="AP10" s="106"/>
      <c r="AQ10" s="100" t="s">
        <v>26</v>
      </c>
      <c r="AR10" s="99"/>
      <c r="AS10" s="96">
        <f t="shared" si="0"/>
        <v>57000</v>
      </c>
      <c r="AT10" s="97">
        <v>11</v>
      </c>
    </row>
    <row r="11" spans="1:46" ht="18.75" customHeight="1" x14ac:dyDescent="0.4">
      <c r="A11" s="94" t="s">
        <v>1</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106"/>
      <c r="AE11" s="106"/>
      <c r="AF11" s="106"/>
      <c r="AG11" s="106"/>
      <c r="AH11" s="106"/>
      <c r="AI11" s="106"/>
      <c r="AJ11" s="106"/>
      <c r="AK11" s="106"/>
      <c r="AL11" s="106"/>
      <c r="AM11" s="106"/>
      <c r="AN11" s="106"/>
      <c r="AO11" s="106"/>
      <c r="AP11" s="106"/>
      <c r="AQ11" s="98" t="s">
        <v>91</v>
      </c>
      <c r="AR11" s="99"/>
      <c r="AS11" s="96">
        <f t="shared" si="0"/>
        <v>169000</v>
      </c>
      <c r="AT11" s="97">
        <v>4</v>
      </c>
    </row>
    <row r="12" spans="1:46" s="12" customFormat="1" ht="18.75" customHeight="1" x14ac:dyDescent="0.4">
      <c r="A12" s="136">
        <v>1</v>
      </c>
      <c r="B12" s="94" t="s">
        <v>131</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106"/>
      <c r="AE12" s="106"/>
      <c r="AF12" s="106"/>
      <c r="AG12" s="106"/>
      <c r="AH12" s="106"/>
      <c r="AI12" s="106"/>
      <c r="AJ12" s="106"/>
      <c r="AK12" s="106"/>
      <c r="AL12" s="106"/>
      <c r="AM12" s="106"/>
      <c r="AN12" s="106"/>
      <c r="AO12" s="106"/>
      <c r="AP12" s="106"/>
      <c r="AQ12" s="98" t="s">
        <v>92</v>
      </c>
      <c r="AR12" s="99"/>
      <c r="AS12" s="96">
        <f t="shared" si="0"/>
        <v>317600</v>
      </c>
      <c r="AT12" s="97">
        <v>5</v>
      </c>
    </row>
    <row r="13" spans="1:46" ht="18.75" customHeight="1" x14ac:dyDescent="0.4">
      <c r="A13" s="136">
        <v>2</v>
      </c>
      <c r="B13" s="122" t="s">
        <v>127</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106"/>
      <c r="AE13" s="106"/>
      <c r="AF13" s="106"/>
      <c r="AG13" s="106"/>
      <c r="AH13" s="106"/>
      <c r="AI13" s="106"/>
      <c r="AJ13" s="106"/>
      <c r="AK13" s="106"/>
      <c r="AL13" s="106"/>
      <c r="AM13" s="106"/>
      <c r="AN13" s="106"/>
      <c r="AO13" s="106"/>
      <c r="AP13" s="106"/>
      <c r="AQ13" s="101"/>
      <c r="AR13" s="101"/>
      <c r="AS13" s="102"/>
      <c r="AT13" s="101"/>
    </row>
    <row r="14" spans="1:46" s="15" customFormat="1" ht="18.75" customHeight="1" x14ac:dyDescent="0.4">
      <c r="A14" s="136">
        <v>3</v>
      </c>
      <c r="B14" s="122" t="s">
        <v>129</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106"/>
      <c r="AE14" s="106"/>
      <c r="AF14" s="106"/>
      <c r="AG14" s="106"/>
      <c r="AH14" s="106"/>
      <c r="AI14" s="106"/>
      <c r="AJ14" s="106"/>
      <c r="AK14" s="106"/>
      <c r="AL14" s="106"/>
      <c r="AM14" s="106"/>
      <c r="AN14" s="106"/>
      <c r="AO14" s="106"/>
      <c r="AP14" s="106"/>
      <c r="AQ14" s="111"/>
      <c r="AR14" s="111"/>
      <c r="AS14" s="112"/>
      <c r="AT14" s="111"/>
    </row>
    <row r="15" spans="1:46" s="60" customFormat="1" ht="18.75" customHeight="1" x14ac:dyDescent="0.4">
      <c r="B15" s="60" t="s">
        <v>130</v>
      </c>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106"/>
      <c r="AE15" s="106"/>
      <c r="AF15" s="106"/>
      <c r="AG15" s="106"/>
      <c r="AH15" s="106"/>
      <c r="AI15" s="106"/>
      <c r="AJ15" s="106"/>
      <c r="AK15" s="106"/>
      <c r="AL15" s="106"/>
      <c r="AM15" s="106"/>
      <c r="AN15" s="106"/>
      <c r="AO15" s="106"/>
      <c r="AP15" s="106"/>
      <c r="AQ15" s="13"/>
      <c r="AR15" s="111"/>
      <c r="AS15" s="112"/>
      <c r="AT15" s="111"/>
    </row>
    <row r="16" spans="1:46" s="73" customFormat="1" ht="18.75" customHeight="1" x14ac:dyDescent="0.4">
      <c r="A16" s="136">
        <v>4</v>
      </c>
      <c r="B16" s="94" t="s">
        <v>128</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106"/>
      <c r="AE16" s="106"/>
      <c r="AF16" s="106"/>
      <c r="AG16" s="106"/>
      <c r="AH16" s="106"/>
      <c r="AI16" s="106"/>
      <c r="AJ16" s="106"/>
      <c r="AK16" s="106"/>
      <c r="AL16" s="106"/>
      <c r="AM16" s="106"/>
      <c r="AN16" s="106"/>
      <c r="AO16" s="106"/>
      <c r="AP16" s="106"/>
      <c r="AQ16" s="13"/>
      <c r="AR16" s="111"/>
      <c r="AS16" s="112"/>
      <c r="AT16" s="111"/>
    </row>
    <row r="17" spans="1:50" s="73" customFormat="1" ht="18.75" customHeight="1" x14ac:dyDescent="0.4">
      <c r="A17" s="109"/>
      <c r="B17" s="94" t="s">
        <v>116</v>
      </c>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106"/>
      <c r="AE17" s="106"/>
      <c r="AF17" s="106"/>
      <c r="AG17" s="106"/>
      <c r="AH17" s="106"/>
      <c r="AI17" s="106"/>
      <c r="AJ17" s="106"/>
      <c r="AK17" s="106"/>
      <c r="AL17" s="106"/>
      <c r="AM17" s="106"/>
      <c r="AN17" s="106"/>
      <c r="AO17" s="106"/>
      <c r="AP17" s="106"/>
      <c r="AQ17" s="13"/>
      <c r="AR17" s="111"/>
      <c r="AS17" s="112"/>
      <c r="AT17" s="111"/>
    </row>
    <row r="18" spans="1:50" s="73" customFormat="1" ht="18.75" customHeight="1" x14ac:dyDescent="0.4">
      <c r="A18" s="110"/>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106"/>
      <c r="AE18" s="106"/>
      <c r="AF18" s="106"/>
      <c r="AG18" s="106"/>
      <c r="AH18" s="106"/>
      <c r="AI18" s="106"/>
      <c r="AJ18" s="106"/>
      <c r="AK18" s="106"/>
      <c r="AL18" s="106"/>
      <c r="AM18" s="106"/>
      <c r="AN18" s="106"/>
      <c r="AO18" s="106"/>
      <c r="AP18" s="106"/>
      <c r="AQ18" s="13"/>
      <c r="AR18" s="111"/>
      <c r="AS18" s="112"/>
      <c r="AT18" s="111"/>
    </row>
    <row r="19" spans="1:50" s="73" customFormat="1" ht="18.75" hidden="1" customHeight="1" x14ac:dyDescent="0.4">
      <c r="A19" s="108"/>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106"/>
      <c r="AE19" s="106"/>
      <c r="AF19" s="106"/>
      <c r="AG19" s="106"/>
      <c r="AH19" s="106"/>
      <c r="AI19" s="106"/>
      <c r="AJ19" s="106"/>
      <c r="AK19" s="77"/>
      <c r="AL19" s="77"/>
      <c r="AM19" s="77"/>
      <c r="AN19" s="77"/>
      <c r="AO19" s="77"/>
      <c r="AP19" s="77"/>
      <c r="AS19" s="14"/>
    </row>
    <row r="20" spans="1:50" s="73" customFormat="1" ht="18.75" hidden="1" customHeight="1" x14ac:dyDescent="0.4">
      <c r="A20" s="110"/>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106"/>
      <c r="AE20" s="106"/>
      <c r="AF20" s="106"/>
      <c r="AG20" s="106"/>
      <c r="AH20" s="106"/>
      <c r="AI20" s="106"/>
      <c r="AJ20" s="106"/>
      <c r="AK20" s="77"/>
      <c r="AL20" s="77"/>
      <c r="AM20" s="77"/>
      <c r="AN20" s="77"/>
      <c r="AO20" s="77"/>
      <c r="AP20" s="77"/>
      <c r="AS20" s="14"/>
    </row>
    <row r="21" spans="1:50" s="85" customFormat="1" ht="18.75" hidden="1" customHeight="1" x14ac:dyDescent="0.4">
      <c r="A21" s="110"/>
      <c r="B21" s="94"/>
      <c r="C21" s="94"/>
      <c r="D21" s="94"/>
      <c r="E21" s="94"/>
      <c r="F21" s="94"/>
      <c r="G21" s="94"/>
      <c r="H21" s="94"/>
      <c r="I21" s="94"/>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S21" s="14"/>
    </row>
    <row r="22" spans="1:50" s="122" customFormat="1" ht="18.75" hidden="1" customHeight="1" x14ac:dyDescent="0.4">
      <c r="A22" s="110"/>
      <c r="B22" s="94"/>
      <c r="C22" s="94"/>
      <c r="D22" s="94"/>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S22" s="14"/>
    </row>
    <row r="23" spans="1:50" s="122" customFormat="1" ht="18.75" hidden="1" customHeight="1" x14ac:dyDescent="0.4">
      <c r="A23" s="110"/>
      <c r="B23" s="94"/>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S23" s="14"/>
    </row>
    <row r="24" spans="1:50" s="60" customFormat="1" ht="18.75" hidden="1" customHeight="1" x14ac:dyDescent="0.4">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77"/>
      <c r="AF24" s="77"/>
      <c r="AG24" s="77"/>
      <c r="AH24" s="77"/>
      <c r="AI24" s="77"/>
      <c r="AJ24" s="77"/>
      <c r="AK24" s="77"/>
      <c r="AL24" s="77"/>
      <c r="AM24" s="77"/>
      <c r="AN24" s="77"/>
      <c r="AO24" s="77"/>
      <c r="AP24" s="77"/>
      <c r="AS24" s="14"/>
    </row>
    <row r="25" spans="1:50" s="42" customFormat="1" ht="23.25" hidden="1" customHeight="1" x14ac:dyDescent="0.4">
      <c r="A25" s="201"/>
      <c r="B25" s="202"/>
      <c r="C25" s="202"/>
      <c r="D25" s="202"/>
      <c r="E25" s="202"/>
      <c r="F25" s="202"/>
      <c r="G25" s="202"/>
      <c r="H25" s="202"/>
      <c r="I25" s="202"/>
      <c r="J25" s="203"/>
      <c r="K25" s="43"/>
      <c r="L25" s="43"/>
      <c r="M25" s="43"/>
      <c r="N25" s="43"/>
      <c r="O25" s="43"/>
      <c r="P25" s="43"/>
      <c r="Q25" s="43"/>
      <c r="R25" s="43"/>
      <c r="S25" s="43"/>
      <c r="T25" s="43"/>
      <c r="U25" s="43"/>
      <c r="V25" s="43"/>
      <c r="W25" s="43"/>
      <c r="X25" s="43"/>
      <c r="Y25" s="43"/>
      <c r="Z25" s="43"/>
      <c r="AA25" s="43"/>
      <c r="AB25" s="43"/>
      <c r="AC25" s="43"/>
      <c r="AD25" s="43"/>
      <c r="AE25" s="77"/>
      <c r="AF25" s="77"/>
      <c r="AG25" s="77"/>
      <c r="AH25" s="77"/>
      <c r="AI25" s="77"/>
      <c r="AJ25" s="77"/>
      <c r="AK25" s="77"/>
      <c r="AL25" s="77"/>
      <c r="AM25" s="77"/>
      <c r="AN25" s="77"/>
      <c r="AO25" s="77"/>
      <c r="AP25" s="77"/>
      <c r="AS25" s="14"/>
    </row>
    <row r="26" spans="1:50" s="42" customFormat="1" ht="21" hidden="1" customHeight="1" x14ac:dyDescent="0.4">
      <c r="A26" s="204"/>
      <c r="B26" s="205"/>
      <c r="C26" s="205"/>
      <c r="D26" s="205"/>
      <c r="E26" s="205"/>
      <c r="F26" s="205"/>
      <c r="G26" s="205"/>
      <c r="H26" s="205"/>
      <c r="I26" s="205"/>
      <c r="J26" s="206"/>
      <c r="K26" s="43"/>
      <c r="L26" s="43"/>
      <c r="M26" s="43"/>
      <c r="N26" s="43"/>
      <c r="O26" s="43"/>
      <c r="P26" s="43"/>
      <c r="Q26" s="43"/>
      <c r="R26" s="43"/>
      <c r="S26" s="43"/>
      <c r="T26" s="43"/>
      <c r="U26" s="43"/>
      <c r="V26" s="43"/>
      <c r="W26" s="43"/>
      <c r="X26" s="43"/>
      <c r="Y26" s="43"/>
      <c r="Z26" s="43"/>
      <c r="AA26" s="43"/>
      <c r="AB26" s="43"/>
      <c r="AC26" s="43"/>
      <c r="AD26" s="43"/>
      <c r="AE26" s="77"/>
      <c r="AF26" s="77"/>
      <c r="AG26" s="77"/>
      <c r="AH26" s="77"/>
      <c r="AI26" s="77"/>
      <c r="AJ26" s="77"/>
      <c r="AK26" s="77"/>
      <c r="AL26" s="77"/>
      <c r="AM26" s="77"/>
      <c r="AN26" s="77"/>
      <c r="AO26" s="77"/>
      <c r="AP26" s="77"/>
      <c r="AS26" s="14"/>
    </row>
    <row r="27" spans="1:50" s="15" customFormat="1" ht="21" hidden="1" customHeight="1" x14ac:dyDescent="0.4">
      <c r="A27" s="241"/>
      <c r="B27" s="241"/>
      <c r="C27" s="241"/>
      <c r="D27" s="241"/>
      <c r="E27" s="241"/>
      <c r="F27" s="241"/>
      <c r="G27" s="241"/>
      <c r="H27" s="241"/>
      <c r="I27" s="241"/>
      <c r="J27" s="241"/>
      <c r="K27" s="229"/>
      <c r="L27" s="229"/>
      <c r="M27" s="229"/>
      <c r="N27" s="229"/>
      <c r="O27" s="229"/>
      <c r="P27" s="229"/>
      <c r="Q27" s="229"/>
      <c r="R27" s="229"/>
      <c r="S27" s="229"/>
      <c r="T27" s="229"/>
      <c r="U27" s="227"/>
      <c r="V27" s="227"/>
      <c r="W27" s="227"/>
      <c r="X27" s="227"/>
      <c r="Y27" s="227"/>
      <c r="Z27" s="227"/>
      <c r="AA27" s="227"/>
      <c r="AB27" s="227"/>
      <c r="AC27" s="227"/>
      <c r="AD27" s="227"/>
      <c r="AE27" s="89"/>
      <c r="AF27" s="89"/>
      <c r="AG27" s="89"/>
      <c r="AH27" s="89"/>
      <c r="AI27" s="89"/>
      <c r="AJ27" s="89"/>
      <c r="AK27" s="89"/>
      <c r="AL27" s="89"/>
      <c r="AM27" s="89"/>
      <c r="AN27" s="89"/>
      <c r="AO27" s="89"/>
      <c r="AP27" s="72"/>
      <c r="AS27" s="14"/>
    </row>
    <row r="28" spans="1:50" s="42" customFormat="1" ht="21" customHeight="1" thickBot="1" x14ac:dyDescent="0.45">
      <c r="A28" s="235" t="s">
        <v>84</v>
      </c>
      <c r="B28" s="236"/>
      <c r="C28" s="236"/>
      <c r="D28" s="236"/>
      <c r="E28" s="236"/>
      <c r="F28" s="236"/>
      <c r="G28" s="236"/>
      <c r="H28" s="236"/>
      <c r="I28" s="236"/>
      <c r="J28" s="237"/>
      <c r="K28" s="242" t="s">
        <v>88</v>
      </c>
      <c r="L28" s="243"/>
      <c r="M28" s="243"/>
      <c r="N28" s="243"/>
      <c r="O28" s="243"/>
      <c r="P28" s="243"/>
      <c r="Q28" s="243"/>
      <c r="R28" s="243"/>
      <c r="S28" s="243"/>
      <c r="T28" s="244"/>
      <c r="U28" s="245"/>
      <c r="V28" s="227"/>
      <c r="W28" s="227"/>
      <c r="X28" s="227"/>
      <c r="Y28" s="227"/>
      <c r="Z28" s="227"/>
      <c r="AA28" s="227"/>
      <c r="AB28" s="227"/>
      <c r="AC28" s="227"/>
      <c r="AD28" s="227"/>
      <c r="AE28" s="89"/>
      <c r="AF28" s="89"/>
      <c r="AG28" s="89"/>
      <c r="AH28" s="89"/>
      <c r="AI28" s="89"/>
      <c r="AJ28" s="89"/>
      <c r="AK28" s="89"/>
      <c r="AL28" s="89"/>
      <c r="AM28" s="89"/>
      <c r="AN28" s="89"/>
      <c r="AO28" s="89"/>
      <c r="AP28" s="72"/>
      <c r="AS28" s="14"/>
    </row>
    <row r="29" spans="1:50" s="15" customFormat="1" ht="23.25" customHeight="1" thickBot="1" x14ac:dyDescent="0.45">
      <c r="A29" s="238"/>
      <c r="B29" s="239"/>
      <c r="C29" s="239"/>
      <c r="D29" s="239"/>
      <c r="E29" s="239"/>
      <c r="F29" s="239"/>
      <c r="G29" s="239"/>
      <c r="H29" s="239"/>
      <c r="I29" s="239"/>
      <c r="J29" s="240"/>
      <c r="K29" s="230"/>
      <c r="L29" s="231"/>
      <c r="M29" s="231"/>
      <c r="N29" s="231"/>
      <c r="O29" s="231"/>
      <c r="P29" s="231"/>
      <c r="Q29" s="231"/>
      <c r="R29" s="231"/>
      <c r="S29" s="231"/>
      <c r="T29" s="232"/>
      <c r="U29" s="233"/>
      <c r="V29" s="234"/>
      <c r="W29" s="234"/>
      <c r="X29" s="234"/>
      <c r="Y29" s="234"/>
      <c r="Z29" s="234"/>
      <c r="AA29" s="234"/>
      <c r="AB29" s="234"/>
      <c r="AC29" s="234"/>
      <c r="AD29" s="234"/>
      <c r="AE29" s="92"/>
      <c r="AF29" s="92"/>
      <c r="AG29" s="92"/>
      <c r="AH29" s="92"/>
      <c r="AI29" s="92"/>
      <c r="AJ29" s="92"/>
      <c r="AK29" s="92"/>
      <c r="AL29" s="92"/>
      <c r="AM29" s="92"/>
      <c r="AN29" s="92"/>
      <c r="AO29" s="92"/>
      <c r="AP29" s="78"/>
      <c r="AS29" s="14"/>
    </row>
    <row r="30" spans="1:50" ht="18.75" customHeight="1" x14ac:dyDescent="0.4">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106"/>
      <c r="AF30" s="106"/>
      <c r="AG30" s="106"/>
      <c r="AH30" s="106"/>
      <c r="AI30" s="106"/>
      <c r="AJ30" s="106"/>
      <c r="AK30" s="106"/>
      <c r="AL30" s="106"/>
      <c r="AM30" s="106"/>
      <c r="AN30" s="106"/>
      <c r="AO30" s="106"/>
      <c r="AP30" s="106"/>
      <c r="AR30" s="42"/>
      <c r="AS30" s="42"/>
      <c r="AT30" s="42"/>
      <c r="AU30" s="42"/>
      <c r="AV30" s="42"/>
      <c r="AW30" s="42"/>
      <c r="AX30" s="42"/>
    </row>
    <row r="31" spans="1:50" ht="18.75" customHeight="1" x14ac:dyDescent="0.4">
      <c r="A31" s="210" t="s">
        <v>2</v>
      </c>
      <c r="B31" s="211"/>
      <c r="C31" s="212"/>
      <c r="D31" s="210" t="s">
        <v>3</v>
      </c>
      <c r="E31" s="211"/>
      <c r="F31" s="211"/>
      <c r="G31" s="211"/>
      <c r="H31" s="211"/>
      <c r="I31" s="211"/>
      <c r="J31" s="212"/>
      <c r="K31" s="210" t="s">
        <v>4</v>
      </c>
      <c r="L31" s="216"/>
      <c r="M31" s="216"/>
      <c r="N31" s="216"/>
      <c r="O31" s="216"/>
      <c r="P31" s="216"/>
      <c r="Q31" s="216"/>
      <c r="R31" s="216"/>
      <c r="S31" s="216"/>
      <c r="T31" s="217"/>
      <c r="U31" s="224" t="s">
        <v>5</v>
      </c>
      <c r="V31" s="225"/>
      <c r="W31" s="225"/>
      <c r="X31" s="225"/>
      <c r="Y31" s="225"/>
      <c r="Z31" s="225"/>
      <c r="AA31" s="225"/>
      <c r="AB31" s="225"/>
      <c r="AC31" s="225"/>
      <c r="AD31" s="226"/>
      <c r="AE31" s="87"/>
      <c r="AF31" s="87"/>
      <c r="AG31" s="87"/>
      <c r="AH31" s="87"/>
      <c r="AI31" s="87"/>
      <c r="AJ31" s="87"/>
      <c r="AK31" s="87"/>
      <c r="AL31" s="87"/>
      <c r="AM31" s="87"/>
      <c r="AN31" s="87"/>
      <c r="AO31" s="87"/>
      <c r="AP31" s="88"/>
      <c r="AQ31" s="113" t="s">
        <v>115</v>
      </c>
      <c r="AR31" s="95"/>
      <c r="AS31" s="95"/>
      <c r="AT31" s="95"/>
      <c r="AU31" s="95"/>
      <c r="AV31" s="95"/>
      <c r="AW31" s="95"/>
      <c r="AX31" s="95"/>
    </row>
    <row r="32" spans="1:50" ht="18.75" customHeight="1" x14ac:dyDescent="0.4">
      <c r="A32" s="207"/>
      <c r="B32" s="208"/>
      <c r="C32" s="209"/>
      <c r="D32" s="207"/>
      <c r="E32" s="208"/>
      <c r="F32" s="208"/>
      <c r="G32" s="208"/>
      <c r="H32" s="208"/>
      <c r="I32" s="208"/>
      <c r="J32" s="209"/>
      <c r="K32" s="218"/>
      <c r="L32" s="219"/>
      <c r="M32" s="219"/>
      <c r="N32" s="219"/>
      <c r="O32" s="219"/>
      <c r="P32" s="219"/>
      <c r="Q32" s="219"/>
      <c r="R32" s="219"/>
      <c r="S32" s="219"/>
      <c r="T32" s="220"/>
      <c r="U32" s="267" t="s">
        <v>6</v>
      </c>
      <c r="V32" s="268"/>
      <c r="W32" s="268"/>
      <c r="X32" s="268"/>
      <c r="Y32" s="268"/>
      <c r="Z32" s="268"/>
      <c r="AA32" s="268"/>
      <c r="AB32" s="268"/>
      <c r="AC32" s="268"/>
      <c r="AD32" s="269"/>
      <c r="AE32" s="115"/>
      <c r="AF32" s="115"/>
      <c r="AG32" s="115"/>
      <c r="AH32" s="115"/>
      <c r="AI32" s="115"/>
      <c r="AJ32" s="115"/>
      <c r="AK32" s="115"/>
      <c r="AL32" s="115"/>
      <c r="AM32" s="115"/>
      <c r="AN32" s="115"/>
      <c r="AO32" s="115"/>
      <c r="AP32" s="116"/>
      <c r="AQ32" s="113">
        <v>3</v>
      </c>
      <c r="AR32" s="95">
        <v>4</v>
      </c>
      <c r="AS32" s="95">
        <v>5</v>
      </c>
      <c r="AT32" s="95">
        <v>6</v>
      </c>
      <c r="AU32" s="95">
        <v>7</v>
      </c>
      <c r="AV32" s="95">
        <v>8</v>
      </c>
      <c r="AW32" s="95">
        <v>9</v>
      </c>
      <c r="AX32" s="95">
        <v>10</v>
      </c>
    </row>
    <row r="33" spans="1:50" ht="18.75" customHeight="1" x14ac:dyDescent="0.4">
      <c r="A33" s="213"/>
      <c r="B33" s="214"/>
      <c r="C33" s="215"/>
      <c r="D33" s="213"/>
      <c r="E33" s="214"/>
      <c r="F33" s="214"/>
      <c r="G33" s="214"/>
      <c r="H33" s="214"/>
      <c r="I33" s="214"/>
      <c r="J33" s="215"/>
      <c r="K33" s="221"/>
      <c r="L33" s="222"/>
      <c r="M33" s="222"/>
      <c r="N33" s="222"/>
      <c r="O33" s="222"/>
      <c r="P33" s="222"/>
      <c r="Q33" s="222"/>
      <c r="R33" s="222"/>
      <c r="S33" s="222"/>
      <c r="T33" s="223"/>
      <c r="U33" s="270"/>
      <c r="V33" s="271"/>
      <c r="W33" s="271"/>
      <c r="X33" s="271"/>
      <c r="Y33" s="271"/>
      <c r="Z33" s="271"/>
      <c r="AA33" s="271"/>
      <c r="AB33" s="271"/>
      <c r="AC33" s="271"/>
      <c r="AD33" s="272"/>
      <c r="AE33" s="115"/>
      <c r="AF33" s="115"/>
      <c r="AG33" s="115"/>
      <c r="AH33" s="115"/>
      <c r="AI33" s="115"/>
      <c r="AJ33" s="115"/>
      <c r="AK33" s="115"/>
      <c r="AL33" s="115"/>
      <c r="AM33" s="115"/>
      <c r="AN33" s="115"/>
      <c r="AO33" s="115"/>
      <c r="AP33" s="116"/>
      <c r="AQ33" s="189" t="s">
        <v>23</v>
      </c>
      <c r="AR33" s="192" t="s">
        <v>24</v>
      </c>
      <c r="AS33" s="195" t="s">
        <v>109</v>
      </c>
      <c r="AT33" s="195"/>
      <c r="AU33" s="195"/>
      <c r="AV33" s="188" t="s">
        <v>105</v>
      </c>
      <c r="AW33" s="195" t="s">
        <v>106</v>
      </c>
      <c r="AX33" s="188" t="s">
        <v>108</v>
      </c>
    </row>
    <row r="34" spans="1:50" ht="18.75" customHeight="1" x14ac:dyDescent="0.4">
      <c r="A34" s="228" t="s">
        <v>7</v>
      </c>
      <c r="B34" s="211"/>
      <c r="C34" s="212"/>
      <c r="D34" s="224" t="s">
        <v>8</v>
      </c>
      <c r="E34" s="225"/>
      <c r="F34" s="225"/>
      <c r="G34" s="225"/>
      <c r="H34" s="225"/>
      <c r="I34" s="225"/>
      <c r="J34" s="226"/>
      <c r="K34" s="228" t="s">
        <v>9</v>
      </c>
      <c r="L34" s="211"/>
      <c r="M34" s="211"/>
      <c r="N34" s="211"/>
      <c r="O34" s="211"/>
      <c r="P34" s="211"/>
      <c r="Q34" s="211"/>
      <c r="R34" s="211"/>
      <c r="S34" s="211"/>
      <c r="T34" s="212"/>
      <c r="U34" s="210" t="s">
        <v>20</v>
      </c>
      <c r="V34" s="211"/>
      <c r="W34" s="211"/>
      <c r="X34" s="211"/>
      <c r="Y34" s="211"/>
      <c r="Z34" s="228" t="s">
        <v>10</v>
      </c>
      <c r="AA34" s="211"/>
      <c r="AB34" s="211"/>
      <c r="AC34" s="211"/>
      <c r="AD34" s="212"/>
      <c r="AE34" s="87"/>
      <c r="AF34" s="87"/>
      <c r="AG34" s="87"/>
      <c r="AH34" s="87"/>
      <c r="AI34" s="87"/>
      <c r="AJ34" s="87"/>
      <c r="AK34" s="87"/>
      <c r="AL34" s="87"/>
      <c r="AM34" s="87"/>
      <c r="AN34" s="87"/>
      <c r="AO34" s="87"/>
      <c r="AP34" s="88"/>
      <c r="AQ34" s="190"/>
      <c r="AR34" s="193"/>
      <c r="AS34" s="188" t="s">
        <v>111</v>
      </c>
      <c r="AT34" s="188" t="s">
        <v>110</v>
      </c>
      <c r="AU34" s="188" t="s">
        <v>107</v>
      </c>
      <c r="AV34" s="188"/>
      <c r="AW34" s="195"/>
      <c r="AX34" s="188"/>
    </row>
    <row r="35" spans="1:50" ht="18.75" customHeight="1" thickBot="1" x14ac:dyDescent="0.45">
      <c r="A35" s="213"/>
      <c r="B35" s="214"/>
      <c r="C35" s="215"/>
      <c r="D35" s="207" t="s">
        <v>11</v>
      </c>
      <c r="E35" s="208"/>
      <c r="F35" s="208"/>
      <c r="G35" s="6" t="s">
        <v>0</v>
      </c>
      <c r="H35" s="208" t="s">
        <v>12</v>
      </c>
      <c r="I35" s="208"/>
      <c r="J35" s="209"/>
      <c r="K35" s="207"/>
      <c r="L35" s="208"/>
      <c r="M35" s="208"/>
      <c r="N35" s="208"/>
      <c r="O35" s="208"/>
      <c r="P35" s="208"/>
      <c r="Q35" s="208"/>
      <c r="R35" s="208"/>
      <c r="S35" s="208"/>
      <c r="T35" s="209"/>
      <c r="U35" s="213"/>
      <c r="V35" s="214"/>
      <c r="W35" s="214"/>
      <c r="X35" s="214"/>
      <c r="Y35" s="214"/>
      <c r="Z35" s="213"/>
      <c r="AA35" s="214"/>
      <c r="AB35" s="214"/>
      <c r="AC35" s="214"/>
      <c r="AD35" s="215"/>
      <c r="AE35" s="87"/>
      <c r="AF35" s="87"/>
      <c r="AG35" s="87"/>
      <c r="AH35" s="87"/>
      <c r="AI35" s="87"/>
      <c r="AJ35" s="87"/>
      <c r="AK35" s="87"/>
      <c r="AL35" s="87"/>
      <c r="AM35" s="87"/>
      <c r="AN35" s="87"/>
      <c r="AO35" s="87"/>
      <c r="AP35" s="88"/>
      <c r="AQ35" s="191"/>
      <c r="AR35" s="194"/>
      <c r="AS35" s="188"/>
      <c r="AT35" s="188"/>
      <c r="AU35" s="188"/>
      <c r="AV35" s="188"/>
      <c r="AW35" s="195"/>
      <c r="AX35" s="188"/>
    </row>
    <row r="36" spans="1:50" ht="18.75" customHeight="1" x14ac:dyDescent="0.4">
      <c r="A36" s="224">
        <v>1</v>
      </c>
      <c r="B36" s="225"/>
      <c r="C36" s="225"/>
      <c r="D36" s="277"/>
      <c r="E36" s="278"/>
      <c r="F36" s="278"/>
      <c r="G36" s="8" t="s">
        <v>13</v>
      </c>
      <c r="H36" s="278"/>
      <c r="I36" s="278"/>
      <c r="J36" s="279"/>
      <c r="K36" s="273"/>
      <c r="L36" s="274"/>
      <c r="M36" s="274"/>
      <c r="N36" s="274"/>
      <c r="O36" s="274"/>
      <c r="P36" s="274"/>
      <c r="Q36" s="274"/>
      <c r="R36" s="274"/>
      <c r="S36" s="274"/>
      <c r="T36" s="275"/>
      <c r="U36" s="256" t="str">
        <f>IF(K36="","",VLOOKUP($K36,要件!$B$3:$C$9,2,FALSE))</f>
        <v/>
      </c>
      <c r="V36" s="256"/>
      <c r="W36" s="256"/>
      <c r="X36" s="256"/>
      <c r="Y36" s="256"/>
      <c r="Z36" s="224" t="str">
        <f>IF(K36="","",D36/H36)</f>
        <v/>
      </c>
      <c r="AA36" s="225"/>
      <c r="AB36" s="225"/>
      <c r="AC36" s="225"/>
      <c r="AD36" s="226"/>
      <c r="AE36" s="87"/>
      <c r="AF36" s="87"/>
      <c r="AG36" s="87"/>
      <c r="AH36" s="87"/>
      <c r="AI36" s="87"/>
      <c r="AJ36" s="87"/>
      <c r="AK36" s="87"/>
      <c r="AL36" s="87"/>
      <c r="AM36" s="87"/>
      <c r="AN36" s="87"/>
      <c r="AO36" s="87"/>
      <c r="AP36" s="88"/>
      <c r="AQ36" s="114" t="str">
        <f ca="1">IF($K36="","",INDIRECT("AS"&amp;AQ$32)*$D36/$H36*$U36)</f>
        <v/>
      </c>
      <c r="AR36" s="114" t="str">
        <f t="shared" ref="AR36:AX45" ca="1" si="1">IF($K36="","",INDIRECT("AS"&amp;AR$32)*$D36/$H36*$U36)</f>
        <v/>
      </c>
      <c r="AS36" s="114" t="str">
        <f t="shared" ca="1" si="1"/>
        <v/>
      </c>
      <c r="AT36" s="114" t="str">
        <f t="shared" ca="1" si="1"/>
        <v/>
      </c>
      <c r="AU36" s="114" t="str">
        <f t="shared" ca="1" si="1"/>
        <v/>
      </c>
      <c r="AV36" s="114" t="str">
        <f t="shared" ca="1" si="1"/>
        <v/>
      </c>
      <c r="AW36" s="114" t="str">
        <f t="shared" ca="1" si="1"/>
        <v/>
      </c>
      <c r="AX36" s="114" t="str">
        <f t="shared" ca="1" si="1"/>
        <v/>
      </c>
    </row>
    <row r="37" spans="1:50" ht="18.75" customHeight="1" x14ac:dyDescent="0.4">
      <c r="A37" s="224">
        <v>2</v>
      </c>
      <c r="B37" s="225"/>
      <c r="C37" s="225"/>
      <c r="D37" s="250"/>
      <c r="E37" s="251"/>
      <c r="F37" s="251"/>
      <c r="G37" s="9" t="s">
        <v>14</v>
      </c>
      <c r="H37" s="251"/>
      <c r="I37" s="251"/>
      <c r="J37" s="252"/>
      <c r="K37" s="253"/>
      <c r="L37" s="254"/>
      <c r="M37" s="254"/>
      <c r="N37" s="254"/>
      <c r="O37" s="254"/>
      <c r="P37" s="254"/>
      <c r="Q37" s="254"/>
      <c r="R37" s="254"/>
      <c r="S37" s="254"/>
      <c r="T37" s="255"/>
      <c r="U37" s="256" t="str">
        <f>IF(K37="","",VLOOKUP($K37,要件!$B$3:$C$9,2,FALSE))</f>
        <v/>
      </c>
      <c r="V37" s="256"/>
      <c r="W37" s="256"/>
      <c r="X37" s="256"/>
      <c r="Y37" s="256"/>
      <c r="Z37" s="224" t="str">
        <f>IF(K37="","",Z36+D37/H37)</f>
        <v/>
      </c>
      <c r="AA37" s="225"/>
      <c r="AB37" s="225"/>
      <c r="AC37" s="225"/>
      <c r="AD37" s="226"/>
      <c r="AE37" s="87"/>
      <c r="AF37" s="87"/>
      <c r="AG37" s="87"/>
      <c r="AH37" s="87"/>
      <c r="AI37" s="87"/>
      <c r="AJ37" s="87"/>
      <c r="AK37" s="87"/>
      <c r="AL37" s="87"/>
      <c r="AM37" s="87"/>
      <c r="AN37" s="87"/>
      <c r="AO37" s="87"/>
      <c r="AP37" s="88"/>
      <c r="AQ37" s="114" t="str">
        <f t="shared" ref="AQ37:AQ45" ca="1" si="2">IF($K37="","",INDIRECT("AS"&amp;AQ$32)*$D37/$H37*$U37)</f>
        <v/>
      </c>
      <c r="AR37" s="114" t="str">
        <f t="shared" ca="1" si="1"/>
        <v/>
      </c>
      <c r="AS37" s="114" t="str">
        <f t="shared" ca="1" si="1"/>
        <v/>
      </c>
      <c r="AT37" s="114" t="str">
        <f t="shared" ca="1" si="1"/>
        <v/>
      </c>
      <c r="AU37" s="114" t="str">
        <f t="shared" ca="1" si="1"/>
        <v/>
      </c>
      <c r="AV37" s="114" t="str">
        <f t="shared" ca="1" si="1"/>
        <v/>
      </c>
      <c r="AW37" s="114" t="str">
        <f t="shared" ca="1" si="1"/>
        <v/>
      </c>
      <c r="AX37" s="114" t="str">
        <f t="shared" ca="1" si="1"/>
        <v/>
      </c>
    </row>
    <row r="38" spans="1:50" ht="18.75" customHeight="1" x14ac:dyDescent="0.4">
      <c r="A38" s="224">
        <v>3</v>
      </c>
      <c r="B38" s="225"/>
      <c r="C38" s="225"/>
      <c r="D38" s="250"/>
      <c r="E38" s="251"/>
      <c r="F38" s="251"/>
      <c r="G38" s="9" t="s">
        <v>14</v>
      </c>
      <c r="H38" s="251"/>
      <c r="I38" s="251"/>
      <c r="J38" s="252"/>
      <c r="K38" s="253"/>
      <c r="L38" s="254"/>
      <c r="M38" s="254"/>
      <c r="N38" s="254"/>
      <c r="O38" s="254"/>
      <c r="P38" s="254"/>
      <c r="Q38" s="254"/>
      <c r="R38" s="254"/>
      <c r="S38" s="254"/>
      <c r="T38" s="255"/>
      <c r="U38" s="256" t="str">
        <f>IF(K38="","",VLOOKUP($K38,要件!$B$3:$C$9,2,FALSE))</f>
        <v/>
      </c>
      <c r="V38" s="256"/>
      <c r="W38" s="256"/>
      <c r="X38" s="256"/>
      <c r="Y38" s="256"/>
      <c r="Z38" s="224" t="str">
        <f t="shared" ref="Z38:Z45" si="3">IF(K38="","",Z37+D38/H38)</f>
        <v/>
      </c>
      <c r="AA38" s="225"/>
      <c r="AB38" s="225"/>
      <c r="AC38" s="225"/>
      <c r="AD38" s="226"/>
      <c r="AE38" s="87"/>
      <c r="AF38" s="87"/>
      <c r="AG38" s="87"/>
      <c r="AH38" s="87"/>
      <c r="AI38" s="87"/>
      <c r="AJ38" s="87"/>
      <c r="AK38" s="87"/>
      <c r="AL38" s="87"/>
      <c r="AM38" s="87"/>
      <c r="AN38" s="87"/>
      <c r="AO38" s="87"/>
      <c r="AP38" s="88"/>
      <c r="AQ38" s="114" t="str">
        <f t="shared" ca="1" si="2"/>
        <v/>
      </c>
      <c r="AR38" s="114" t="str">
        <f t="shared" ca="1" si="1"/>
        <v/>
      </c>
      <c r="AS38" s="114" t="str">
        <f t="shared" ca="1" si="1"/>
        <v/>
      </c>
      <c r="AT38" s="114" t="str">
        <f t="shared" ca="1" si="1"/>
        <v/>
      </c>
      <c r="AU38" s="114" t="str">
        <f t="shared" ca="1" si="1"/>
        <v/>
      </c>
      <c r="AV38" s="114" t="str">
        <f t="shared" ca="1" si="1"/>
        <v/>
      </c>
      <c r="AW38" s="114" t="str">
        <f t="shared" ca="1" si="1"/>
        <v/>
      </c>
      <c r="AX38" s="114" t="str">
        <f t="shared" ca="1" si="1"/>
        <v/>
      </c>
    </row>
    <row r="39" spans="1:50" ht="18.75" customHeight="1" x14ac:dyDescent="0.4">
      <c r="A39" s="224">
        <v>4</v>
      </c>
      <c r="B39" s="225"/>
      <c r="C39" s="225"/>
      <c r="D39" s="250"/>
      <c r="E39" s="251"/>
      <c r="F39" s="251"/>
      <c r="G39" s="9" t="s">
        <v>0</v>
      </c>
      <c r="H39" s="251"/>
      <c r="I39" s="251"/>
      <c r="J39" s="252"/>
      <c r="K39" s="253"/>
      <c r="L39" s="254"/>
      <c r="M39" s="254"/>
      <c r="N39" s="254"/>
      <c r="O39" s="254"/>
      <c r="P39" s="254"/>
      <c r="Q39" s="254"/>
      <c r="R39" s="254"/>
      <c r="S39" s="254"/>
      <c r="T39" s="255"/>
      <c r="U39" s="256" t="str">
        <f>IF(K39="","",VLOOKUP($K39,要件!$B$3:$C$9,2,FALSE))</f>
        <v/>
      </c>
      <c r="V39" s="256"/>
      <c r="W39" s="256"/>
      <c r="X39" s="256"/>
      <c r="Y39" s="256"/>
      <c r="Z39" s="224" t="str">
        <f t="shared" si="3"/>
        <v/>
      </c>
      <c r="AA39" s="225"/>
      <c r="AB39" s="225"/>
      <c r="AC39" s="225"/>
      <c r="AD39" s="226"/>
      <c r="AE39" s="87"/>
      <c r="AF39" s="87"/>
      <c r="AG39" s="87"/>
      <c r="AH39" s="87"/>
      <c r="AI39" s="87"/>
      <c r="AJ39" s="87"/>
      <c r="AK39" s="87"/>
      <c r="AL39" s="87"/>
      <c r="AM39" s="87"/>
      <c r="AN39" s="87"/>
      <c r="AO39" s="87"/>
      <c r="AP39" s="88"/>
      <c r="AQ39" s="114" t="str">
        <f t="shared" ca="1" si="2"/>
        <v/>
      </c>
      <c r="AR39" s="114" t="str">
        <f t="shared" ca="1" si="1"/>
        <v/>
      </c>
      <c r="AS39" s="114" t="str">
        <f t="shared" ca="1" si="1"/>
        <v/>
      </c>
      <c r="AT39" s="114" t="str">
        <f t="shared" ca="1" si="1"/>
        <v/>
      </c>
      <c r="AU39" s="114" t="str">
        <f t="shared" ca="1" si="1"/>
        <v/>
      </c>
      <c r="AV39" s="114" t="str">
        <f t="shared" ca="1" si="1"/>
        <v/>
      </c>
      <c r="AW39" s="114" t="str">
        <f t="shared" ca="1" si="1"/>
        <v/>
      </c>
      <c r="AX39" s="114" t="str">
        <f t="shared" ca="1" si="1"/>
        <v/>
      </c>
    </row>
    <row r="40" spans="1:50" ht="18.75" customHeight="1" x14ac:dyDescent="0.4">
      <c r="A40" s="224">
        <v>5</v>
      </c>
      <c r="B40" s="225"/>
      <c r="C40" s="225"/>
      <c r="D40" s="250"/>
      <c r="E40" s="251"/>
      <c r="F40" s="251"/>
      <c r="G40" s="9" t="s">
        <v>15</v>
      </c>
      <c r="H40" s="251"/>
      <c r="I40" s="251"/>
      <c r="J40" s="252"/>
      <c r="K40" s="253"/>
      <c r="L40" s="254"/>
      <c r="M40" s="254"/>
      <c r="N40" s="254"/>
      <c r="O40" s="254"/>
      <c r="P40" s="254"/>
      <c r="Q40" s="254"/>
      <c r="R40" s="254"/>
      <c r="S40" s="254"/>
      <c r="T40" s="255"/>
      <c r="U40" s="256" t="str">
        <f>IF(K40="","",VLOOKUP($K40,要件!$B$3:$C$9,2,FALSE))</f>
        <v/>
      </c>
      <c r="V40" s="256"/>
      <c r="W40" s="256"/>
      <c r="X40" s="256"/>
      <c r="Y40" s="256"/>
      <c r="Z40" s="224" t="str">
        <f t="shared" si="3"/>
        <v/>
      </c>
      <c r="AA40" s="225"/>
      <c r="AB40" s="225"/>
      <c r="AC40" s="225"/>
      <c r="AD40" s="226"/>
      <c r="AE40" s="87"/>
      <c r="AF40" s="87"/>
      <c r="AG40" s="87"/>
      <c r="AH40" s="87"/>
      <c r="AI40" s="87"/>
      <c r="AJ40" s="87"/>
      <c r="AK40" s="87"/>
      <c r="AL40" s="87"/>
      <c r="AM40" s="87"/>
      <c r="AN40" s="87"/>
      <c r="AO40" s="87"/>
      <c r="AP40" s="88"/>
      <c r="AQ40" s="114" t="str">
        <f t="shared" ca="1" si="2"/>
        <v/>
      </c>
      <c r="AR40" s="114" t="str">
        <f t="shared" ca="1" si="1"/>
        <v/>
      </c>
      <c r="AS40" s="114" t="str">
        <f t="shared" ca="1" si="1"/>
        <v/>
      </c>
      <c r="AT40" s="114" t="str">
        <f t="shared" ca="1" si="1"/>
        <v/>
      </c>
      <c r="AU40" s="114" t="str">
        <f t="shared" ca="1" si="1"/>
        <v/>
      </c>
      <c r="AV40" s="114" t="str">
        <f t="shared" ca="1" si="1"/>
        <v/>
      </c>
      <c r="AW40" s="114" t="str">
        <f t="shared" ca="1" si="1"/>
        <v/>
      </c>
      <c r="AX40" s="114" t="str">
        <f t="shared" ca="1" si="1"/>
        <v/>
      </c>
    </row>
    <row r="41" spans="1:50" ht="18.75" customHeight="1" x14ac:dyDescent="0.4">
      <c r="A41" s="224">
        <v>6</v>
      </c>
      <c r="B41" s="225"/>
      <c r="C41" s="225"/>
      <c r="D41" s="250"/>
      <c r="E41" s="251"/>
      <c r="F41" s="251"/>
      <c r="G41" s="9" t="s">
        <v>0</v>
      </c>
      <c r="H41" s="251"/>
      <c r="I41" s="251"/>
      <c r="J41" s="252"/>
      <c r="K41" s="253"/>
      <c r="L41" s="254"/>
      <c r="M41" s="254"/>
      <c r="N41" s="254"/>
      <c r="O41" s="254"/>
      <c r="P41" s="254"/>
      <c r="Q41" s="254"/>
      <c r="R41" s="254"/>
      <c r="S41" s="254"/>
      <c r="T41" s="255"/>
      <c r="U41" s="256" t="str">
        <f>IF(K41="","",VLOOKUP($K41,要件!$B$3:$C$9,2,FALSE))</f>
        <v/>
      </c>
      <c r="V41" s="256"/>
      <c r="W41" s="256"/>
      <c r="X41" s="256"/>
      <c r="Y41" s="256"/>
      <c r="Z41" s="224" t="str">
        <f t="shared" si="3"/>
        <v/>
      </c>
      <c r="AA41" s="225"/>
      <c r="AB41" s="225"/>
      <c r="AC41" s="225"/>
      <c r="AD41" s="226"/>
      <c r="AE41" s="87"/>
      <c r="AF41" s="87"/>
      <c r="AG41" s="87"/>
      <c r="AH41" s="87"/>
      <c r="AI41" s="87"/>
      <c r="AJ41" s="87"/>
      <c r="AK41" s="87"/>
      <c r="AL41" s="87"/>
      <c r="AM41" s="87"/>
      <c r="AN41" s="87"/>
      <c r="AO41" s="87"/>
      <c r="AP41" s="88"/>
      <c r="AQ41" s="114" t="str">
        <f t="shared" ca="1" si="2"/>
        <v/>
      </c>
      <c r="AR41" s="114" t="str">
        <f t="shared" ca="1" si="1"/>
        <v/>
      </c>
      <c r="AS41" s="114" t="str">
        <f t="shared" ca="1" si="1"/>
        <v/>
      </c>
      <c r="AT41" s="114" t="str">
        <f t="shared" ca="1" si="1"/>
        <v/>
      </c>
      <c r="AU41" s="114" t="str">
        <f t="shared" ca="1" si="1"/>
        <v/>
      </c>
      <c r="AV41" s="114" t="str">
        <f t="shared" ca="1" si="1"/>
        <v/>
      </c>
      <c r="AW41" s="114" t="str">
        <f t="shared" ca="1" si="1"/>
        <v/>
      </c>
      <c r="AX41" s="114" t="str">
        <f t="shared" ca="1" si="1"/>
        <v/>
      </c>
    </row>
    <row r="42" spans="1:50" ht="18.75" customHeight="1" x14ac:dyDescent="0.4">
      <c r="A42" s="224">
        <v>7</v>
      </c>
      <c r="B42" s="225"/>
      <c r="C42" s="225"/>
      <c r="D42" s="250"/>
      <c r="E42" s="251"/>
      <c r="F42" s="251"/>
      <c r="G42" s="9" t="s">
        <v>15</v>
      </c>
      <c r="H42" s="251"/>
      <c r="I42" s="251"/>
      <c r="J42" s="252"/>
      <c r="K42" s="253"/>
      <c r="L42" s="254"/>
      <c r="M42" s="254"/>
      <c r="N42" s="254"/>
      <c r="O42" s="254"/>
      <c r="P42" s="254"/>
      <c r="Q42" s="254"/>
      <c r="R42" s="254"/>
      <c r="S42" s="254"/>
      <c r="T42" s="255"/>
      <c r="U42" s="256" t="str">
        <f>IF(K42="","",VLOOKUP($K42,要件!$B$3:$C$9,2,FALSE))</f>
        <v/>
      </c>
      <c r="V42" s="256"/>
      <c r="W42" s="256"/>
      <c r="X42" s="256"/>
      <c r="Y42" s="256"/>
      <c r="Z42" s="224" t="str">
        <f t="shared" si="3"/>
        <v/>
      </c>
      <c r="AA42" s="225"/>
      <c r="AB42" s="225"/>
      <c r="AC42" s="225"/>
      <c r="AD42" s="226"/>
      <c r="AE42" s="87"/>
      <c r="AF42" s="87"/>
      <c r="AG42" s="87"/>
      <c r="AH42" s="87"/>
      <c r="AI42" s="87"/>
      <c r="AJ42" s="87"/>
      <c r="AK42" s="87"/>
      <c r="AL42" s="87"/>
      <c r="AM42" s="87"/>
      <c r="AN42" s="87"/>
      <c r="AO42" s="87"/>
      <c r="AP42" s="88"/>
      <c r="AQ42" s="114" t="str">
        <f t="shared" ca="1" si="2"/>
        <v/>
      </c>
      <c r="AR42" s="114" t="str">
        <f t="shared" ca="1" si="1"/>
        <v/>
      </c>
      <c r="AS42" s="114" t="str">
        <f t="shared" ca="1" si="1"/>
        <v/>
      </c>
      <c r="AT42" s="114" t="str">
        <f t="shared" ca="1" si="1"/>
        <v/>
      </c>
      <c r="AU42" s="114" t="str">
        <f t="shared" ca="1" si="1"/>
        <v/>
      </c>
      <c r="AV42" s="114" t="str">
        <f t="shared" ca="1" si="1"/>
        <v/>
      </c>
      <c r="AW42" s="114" t="str">
        <f t="shared" ca="1" si="1"/>
        <v/>
      </c>
      <c r="AX42" s="114" t="str">
        <f t="shared" ca="1" si="1"/>
        <v/>
      </c>
    </row>
    <row r="43" spans="1:50" ht="18.75" customHeight="1" x14ac:dyDescent="0.4">
      <c r="A43" s="224">
        <v>8</v>
      </c>
      <c r="B43" s="225"/>
      <c r="C43" s="225"/>
      <c r="D43" s="250"/>
      <c r="E43" s="251"/>
      <c r="F43" s="251"/>
      <c r="G43" s="9" t="s">
        <v>15</v>
      </c>
      <c r="H43" s="251"/>
      <c r="I43" s="251"/>
      <c r="J43" s="252"/>
      <c r="K43" s="253"/>
      <c r="L43" s="254"/>
      <c r="M43" s="254"/>
      <c r="N43" s="254"/>
      <c r="O43" s="254"/>
      <c r="P43" s="254"/>
      <c r="Q43" s="254"/>
      <c r="R43" s="254"/>
      <c r="S43" s="254"/>
      <c r="T43" s="255"/>
      <c r="U43" s="256" t="str">
        <f>IF(K43="","",VLOOKUP($K43,要件!$B$3:$C$9,2,FALSE))</f>
        <v/>
      </c>
      <c r="V43" s="256"/>
      <c r="W43" s="256"/>
      <c r="X43" s="256"/>
      <c r="Y43" s="256"/>
      <c r="Z43" s="224" t="str">
        <f t="shared" si="3"/>
        <v/>
      </c>
      <c r="AA43" s="225"/>
      <c r="AB43" s="225"/>
      <c r="AC43" s="225"/>
      <c r="AD43" s="226"/>
      <c r="AE43" s="87"/>
      <c r="AF43" s="87"/>
      <c r="AG43" s="87"/>
      <c r="AH43" s="87"/>
      <c r="AI43" s="87"/>
      <c r="AJ43" s="87"/>
      <c r="AK43" s="87"/>
      <c r="AL43" s="87"/>
      <c r="AM43" s="87"/>
      <c r="AN43" s="87"/>
      <c r="AO43" s="87"/>
      <c r="AP43" s="88"/>
      <c r="AQ43" s="114" t="str">
        <f t="shared" ca="1" si="2"/>
        <v/>
      </c>
      <c r="AR43" s="114" t="str">
        <f t="shared" ca="1" si="1"/>
        <v/>
      </c>
      <c r="AS43" s="114" t="str">
        <f t="shared" ca="1" si="1"/>
        <v/>
      </c>
      <c r="AT43" s="114" t="str">
        <f t="shared" ca="1" si="1"/>
        <v/>
      </c>
      <c r="AU43" s="114" t="str">
        <f t="shared" ca="1" si="1"/>
        <v/>
      </c>
      <c r="AV43" s="114" t="str">
        <f t="shared" ca="1" si="1"/>
        <v/>
      </c>
      <c r="AW43" s="114" t="str">
        <f t="shared" ca="1" si="1"/>
        <v/>
      </c>
      <c r="AX43" s="114" t="str">
        <f t="shared" ca="1" si="1"/>
        <v/>
      </c>
    </row>
    <row r="44" spans="1:50" ht="18.75" customHeight="1" x14ac:dyDescent="0.4">
      <c r="A44" s="224">
        <v>9</v>
      </c>
      <c r="B44" s="225"/>
      <c r="C44" s="225"/>
      <c r="D44" s="250"/>
      <c r="E44" s="251"/>
      <c r="F44" s="251"/>
      <c r="G44" s="9" t="s">
        <v>0</v>
      </c>
      <c r="H44" s="251"/>
      <c r="I44" s="251"/>
      <c r="J44" s="252"/>
      <c r="K44" s="253"/>
      <c r="L44" s="254"/>
      <c r="M44" s="254"/>
      <c r="N44" s="254"/>
      <c r="O44" s="254"/>
      <c r="P44" s="254"/>
      <c r="Q44" s="254"/>
      <c r="R44" s="254"/>
      <c r="S44" s="254"/>
      <c r="T44" s="255"/>
      <c r="U44" s="256" t="str">
        <f>IF(K44="","",VLOOKUP($K44,要件!$B$3:$C$9,2,FALSE))</f>
        <v/>
      </c>
      <c r="V44" s="256"/>
      <c r="W44" s="256"/>
      <c r="X44" s="256"/>
      <c r="Y44" s="256"/>
      <c r="Z44" s="224" t="str">
        <f t="shared" si="3"/>
        <v/>
      </c>
      <c r="AA44" s="225"/>
      <c r="AB44" s="225"/>
      <c r="AC44" s="225"/>
      <c r="AD44" s="226"/>
      <c r="AE44" s="87"/>
      <c r="AF44" s="87"/>
      <c r="AG44" s="87"/>
      <c r="AH44" s="87"/>
      <c r="AI44" s="87"/>
      <c r="AJ44" s="87"/>
      <c r="AK44" s="87"/>
      <c r="AL44" s="87"/>
      <c r="AM44" s="87"/>
      <c r="AN44" s="87"/>
      <c r="AO44" s="87"/>
      <c r="AP44" s="88"/>
      <c r="AQ44" s="114" t="str">
        <f t="shared" ca="1" si="2"/>
        <v/>
      </c>
      <c r="AR44" s="114" t="str">
        <f t="shared" ca="1" si="1"/>
        <v/>
      </c>
      <c r="AS44" s="114" t="str">
        <f t="shared" ca="1" si="1"/>
        <v/>
      </c>
      <c r="AT44" s="114" t="str">
        <f t="shared" ca="1" si="1"/>
        <v/>
      </c>
      <c r="AU44" s="114" t="str">
        <f t="shared" ca="1" si="1"/>
        <v/>
      </c>
      <c r="AV44" s="114" t="str">
        <f t="shared" ca="1" si="1"/>
        <v/>
      </c>
      <c r="AW44" s="114" t="str">
        <f t="shared" ca="1" si="1"/>
        <v/>
      </c>
      <c r="AX44" s="114" t="str">
        <f t="shared" ca="1" si="1"/>
        <v/>
      </c>
    </row>
    <row r="45" spans="1:50" ht="18.75" customHeight="1" thickBot="1" x14ac:dyDescent="0.45">
      <c r="A45" s="224">
        <v>10</v>
      </c>
      <c r="B45" s="225"/>
      <c r="C45" s="225"/>
      <c r="D45" s="257"/>
      <c r="E45" s="258"/>
      <c r="F45" s="258"/>
      <c r="G45" s="10" t="s">
        <v>0</v>
      </c>
      <c r="H45" s="258"/>
      <c r="I45" s="258"/>
      <c r="J45" s="259"/>
      <c r="K45" s="260"/>
      <c r="L45" s="261"/>
      <c r="M45" s="261"/>
      <c r="N45" s="261"/>
      <c r="O45" s="261"/>
      <c r="P45" s="261"/>
      <c r="Q45" s="261"/>
      <c r="R45" s="261"/>
      <c r="S45" s="261"/>
      <c r="T45" s="262"/>
      <c r="U45" s="256" t="str">
        <f>IF(K45="","",VLOOKUP($K45,要件!$B$3:$C$9,2,FALSE))</f>
        <v/>
      </c>
      <c r="V45" s="256"/>
      <c r="W45" s="256"/>
      <c r="X45" s="256"/>
      <c r="Y45" s="256"/>
      <c r="Z45" s="224" t="str">
        <f t="shared" si="3"/>
        <v/>
      </c>
      <c r="AA45" s="225"/>
      <c r="AB45" s="225"/>
      <c r="AC45" s="225"/>
      <c r="AD45" s="226"/>
      <c r="AE45" s="87"/>
      <c r="AF45" s="87"/>
      <c r="AG45" s="87"/>
      <c r="AH45" s="87"/>
      <c r="AI45" s="87"/>
      <c r="AJ45" s="87"/>
      <c r="AK45" s="87"/>
      <c r="AL45" s="87"/>
      <c r="AM45" s="87"/>
      <c r="AN45" s="87"/>
      <c r="AO45" s="87"/>
      <c r="AP45" s="88"/>
      <c r="AQ45" s="114" t="str">
        <f t="shared" ca="1" si="2"/>
        <v/>
      </c>
      <c r="AR45" s="114" t="str">
        <f t="shared" ca="1" si="1"/>
        <v/>
      </c>
      <c r="AS45" s="114" t="str">
        <f t="shared" ca="1" si="1"/>
        <v/>
      </c>
      <c r="AT45" s="114" t="str">
        <f t="shared" ca="1" si="1"/>
        <v/>
      </c>
      <c r="AU45" s="114" t="str">
        <f t="shared" ca="1" si="1"/>
        <v/>
      </c>
      <c r="AV45" s="114" t="str">
        <f t="shared" ca="1" si="1"/>
        <v/>
      </c>
      <c r="AW45" s="114" t="str">
        <f t="shared" ca="1" si="1"/>
        <v/>
      </c>
      <c r="AX45" s="114" t="str">
        <f t="shared" ca="1" si="1"/>
        <v/>
      </c>
    </row>
    <row r="46" spans="1:50" s="15" customFormat="1" ht="21" customHeight="1" x14ac:dyDescent="0.4">
      <c r="AE46" s="85"/>
      <c r="AF46" s="85"/>
      <c r="AG46" s="85"/>
      <c r="AH46" s="85"/>
      <c r="AI46" s="85"/>
      <c r="AJ46" s="85"/>
      <c r="AK46" s="85"/>
      <c r="AL46" s="85"/>
      <c r="AM46" s="85"/>
      <c r="AN46" s="85"/>
      <c r="AO46" s="85"/>
      <c r="AP46" s="73"/>
    </row>
    <row r="47" spans="1:50" s="42" customFormat="1" ht="21" customHeight="1" x14ac:dyDescent="0.4">
      <c r="A47" s="65" t="s">
        <v>123</v>
      </c>
      <c r="AE47" s="85"/>
      <c r="AF47" s="85"/>
      <c r="AG47" s="85"/>
      <c r="AH47" s="85"/>
      <c r="AI47" s="85"/>
      <c r="AJ47" s="85"/>
      <c r="AK47" s="85"/>
      <c r="AL47" s="85"/>
      <c r="AM47" s="85"/>
      <c r="AN47" s="85"/>
      <c r="AO47" s="85"/>
      <c r="AP47" s="73"/>
    </row>
    <row r="48" spans="1:50" ht="50.25" customHeight="1" x14ac:dyDescent="0.4">
      <c r="A48" s="263" t="s">
        <v>21</v>
      </c>
      <c r="B48" s="263"/>
      <c r="C48" s="263"/>
      <c r="D48" s="263"/>
      <c r="E48" s="263"/>
      <c r="F48" s="263"/>
      <c r="G48" s="246">
        <f ca="1">ROUNDDOWN(SUM(AQ36:AQ45),-1)</f>
        <v>0</v>
      </c>
      <c r="H48" s="246"/>
      <c r="I48" s="246"/>
      <c r="J48" s="246"/>
      <c r="K48" s="247" t="s">
        <v>22</v>
      </c>
      <c r="L48" s="247"/>
      <c r="M48" s="247"/>
      <c r="N48" s="247"/>
      <c r="O48" s="247"/>
      <c r="P48" s="247"/>
      <c r="Q48" s="246">
        <f ca="1">ROUNDDOWN(SUM(AR36:AR45),-1)</f>
        <v>0</v>
      </c>
      <c r="R48" s="246"/>
      <c r="S48" s="246"/>
      <c r="T48" s="246"/>
      <c r="U48" s="276" t="s">
        <v>30</v>
      </c>
      <c r="V48" s="276"/>
      <c r="W48" s="276"/>
      <c r="X48" s="276"/>
      <c r="Y48" s="276"/>
      <c r="Z48" s="276"/>
      <c r="AA48" s="246">
        <f ca="1">ROUNDDOWN(SUM(AS36:AS45),-1)+IF(A29&gt;30,(A29-30)*ROUNDDOWN(SUM(AT36:AT45),-1),0)-IF(K29=要件!G3,ROUNDDOWN(SUM(AU36:AU45),-1),0)</f>
        <v>0</v>
      </c>
      <c r="AB48" s="246"/>
      <c r="AC48" s="246"/>
      <c r="AD48" s="246"/>
      <c r="AE48" s="248" t="s">
        <v>121</v>
      </c>
      <c r="AF48" s="249"/>
      <c r="AG48" s="249"/>
      <c r="AH48" s="249"/>
      <c r="AI48" s="249"/>
      <c r="AJ48" s="249"/>
      <c r="AK48" s="196">
        <f ca="1">SUM(G48,Q48,AA48)</f>
        <v>0</v>
      </c>
      <c r="AL48" s="197"/>
      <c r="AM48" s="197"/>
      <c r="AN48" s="197"/>
      <c r="AO48" s="107"/>
      <c r="AP48" s="107"/>
    </row>
    <row r="49" spans="1:45" s="144" customFormat="1" ht="30" customHeight="1" x14ac:dyDescent="0.4">
      <c r="A49" s="142"/>
      <c r="B49" s="142"/>
      <c r="C49" s="142"/>
      <c r="D49" s="142"/>
      <c r="E49" s="142"/>
      <c r="F49" s="143"/>
      <c r="G49" s="266">
        <f ca="1">INDIRECT("AS"&amp;AQ$32)</f>
        <v>17000</v>
      </c>
      <c r="H49" s="266"/>
      <c r="I49" s="266"/>
      <c r="J49" s="266"/>
      <c r="Q49" s="184">
        <f ca="1">INDIRECT("AS"&amp;AR$32)</f>
        <v>143000</v>
      </c>
      <c r="R49" s="184"/>
      <c r="S49" s="184"/>
      <c r="T49" s="184"/>
      <c r="AA49" s="184">
        <f ca="1">INDIRECT("AS"&amp;AS$32)+IF(A29&gt;30,(A29-30)*INDIRECT("AS"&amp;AT$32),0)-IF(K29=要件!G3,INDIRECT("AS"&amp;AU$32),0)</f>
        <v>242700</v>
      </c>
      <c r="AB49" s="184"/>
      <c r="AC49" s="184"/>
      <c r="AD49" s="184"/>
      <c r="AK49" s="185">
        <f ca="1">SUM(G49,Q49,AA49)</f>
        <v>402700</v>
      </c>
      <c r="AL49" s="186"/>
      <c r="AM49" s="186"/>
      <c r="AN49" s="187"/>
      <c r="AS49" s="145"/>
    </row>
    <row r="50" spans="1:45" ht="18.75" customHeight="1" x14ac:dyDescent="0.4">
      <c r="A50" s="66" t="s">
        <v>93</v>
      </c>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row>
    <row r="51" spans="1:45" s="12" customFormat="1" ht="45.75" customHeight="1" x14ac:dyDescent="0.4">
      <c r="A51" s="263" t="s">
        <v>25</v>
      </c>
      <c r="B51" s="247"/>
      <c r="C51" s="247"/>
      <c r="D51" s="247"/>
      <c r="E51" s="247"/>
      <c r="F51" s="247"/>
      <c r="G51" s="264">
        <f ca="1">ROUNDDOWN(SUM(AX36:AX45),-1)</f>
        <v>0</v>
      </c>
      <c r="H51" s="264"/>
      <c r="I51" s="264"/>
      <c r="J51" s="264"/>
      <c r="K51" s="198" t="s">
        <v>180</v>
      </c>
      <c r="L51" s="199"/>
      <c r="M51" s="199"/>
      <c r="N51" s="199"/>
      <c r="O51" s="199"/>
      <c r="P51" s="199"/>
      <c r="Q51" s="200">
        <f ca="1">Q48-G51</f>
        <v>0</v>
      </c>
      <c r="R51" s="200"/>
      <c r="S51" s="200"/>
      <c r="T51" s="200"/>
      <c r="U51" s="106"/>
      <c r="V51" s="106"/>
      <c r="W51" s="106"/>
      <c r="X51" s="106"/>
      <c r="Y51" s="106"/>
      <c r="Z51" s="106"/>
      <c r="AA51" s="106"/>
      <c r="AB51" s="106"/>
      <c r="AC51" s="106"/>
      <c r="AD51" s="106"/>
      <c r="AE51" s="91"/>
      <c r="AF51" s="91"/>
      <c r="AG51" s="91"/>
      <c r="AH51" s="91"/>
      <c r="AI51" s="91"/>
      <c r="AJ51" s="91"/>
      <c r="AK51" s="91"/>
      <c r="AL51" s="91"/>
      <c r="AM51" s="91"/>
      <c r="AN51" s="91"/>
      <c r="AO51" s="91"/>
      <c r="AP51" s="75"/>
      <c r="AQ51" s="15"/>
    </row>
    <row r="52" spans="1:45" ht="73.5" customHeight="1" x14ac:dyDescent="0.4">
      <c r="A52" s="63" t="s">
        <v>89</v>
      </c>
      <c r="B52" s="265" t="s">
        <v>176</v>
      </c>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93"/>
      <c r="AK52" s="125"/>
      <c r="AL52" s="125"/>
      <c r="AM52" s="125"/>
      <c r="AN52" s="125"/>
      <c r="AO52" s="93"/>
      <c r="AP52" s="71"/>
    </row>
    <row r="53" spans="1:45" ht="18.75" customHeight="1" x14ac:dyDescent="0.4">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row>
    <row r="54" spans="1:45" ht="18.75" customHeight="1" x14ac:dyDescent="0.4">
      <c r="A54" s="66" t="s">
        <v>124</v>
      </c>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90"/>
      <c r="AF54" s="90"/>
      <c r="AG54" s="90"/>
      <c r="AH54" s="90"/>
      <c r="AI54" s="90"/>
      <c r="AJ54" s="90"/>
      <c r="AK54" s="90"/>
      <c r="AL54" s="90"/>
      <c r="AM54" s="90"/>
      <c r="AN54" s="90"/>
      <c r="AO54" s="90"/>
      <c r="AP54" s="74"/>
    </row>
    <row r="55" spans="1:45" ht="53.25" customHeight="1" x14ac:dyDescent="0.4">
      <c r="A55" s="242" t="s">
        <v>85</v>
      </c>
      <c r="B55" s="243"/>
      <c r="C55" s="243"/>
      <c r="D55" s="243"/>
      <c r="E55" s="243"/>
      <c r="F55" s="244"/>
      <c r="G55" s="246">
        <f ca="1">ROUNDDOWN(SUM(AV36:AV45),-1)</f>
        <v>0</v>
      </c>
      <c r="H55" s="246"/>
      <c r="I55" s="246"/>
      <c r="J55" s="246"/>
      <c r="K55" s="247" t="s">
        <v>86</v>
      </c>
      <c r="L55" s="247"/>
      <c r="M55" s="247"/>
      <c r="N55" s="247"/>
      <c r="O55" s="247"/>
      <c r="P55" s="247"/>
      <c r="Q55" s="246">
        <f ca="1">ROUNDDOWN(SUM(AW36:AW45),-1)</f>
        <v>0</v>
      </c>
      <c r="R55" s="246"/>
      <c r="S55" s="246"/>
      <c r="T55" s="246"/>
      <c r="U55" s="248" t="s">
        <v>122</v>
      </c>
      <c r="V55" s="249"/>
      <c r="W55" s="249"/>
      <c r="X55" s="249"/>
      <c r="Y55" s="249"/>
      <c r="Z55" s="249"/>
      <c r="AA55" s="246">
        <f ca="1">G55+Q55</f>
        <v>0</v>
      </c>
      <c r="AB55" s="246"/>
      <c r="AC55" s="246"/>
      <c r="AD55" s="246"/>
      <c r="AE55" s="107"/>
      <c r="AF55" s="107"/>
      <c r="AG55" s="107"/>
      <c r="AH55" s="107"/>
      <c r="AI55" s="107"/>
      <c r="AJ55" s="107"/>
      <c r="AK55" s="107"/>
      <c r="AL55" s="107"/>
      <c r="AM55" s="107"/>
      <c r="AN55" s="107"/>
      <c r="AO55" s="107"/>
      <c r="AP55" s="107"/>
    </row>
    <row r="56" spans="1:45" s="144" customFormat="1" ht="30" customHeight="1" x14ac:dyDescent="0.4">
      <c r="G56" s="184">
        <f ca="1">INDIRECT("AS"&amp;AV$32)</f>
        <v>34000</v>
      </c>
      <c r="H56" s="184"/>
      <c r="I56" s="184"/>
      <c r="J56" s="184"/>
      <c r="Q56" s="184">
        <f ca="1">INDIRECT("AS"&amp;AW$32)</f>
        <v>36500</v>
      </c>
      <c r="R56" s="184"/>
      <c r="S56" s="184"/>
      <c r="T56" s="184"/>
      <c r="AA56" s="184">
        <f ca="1">G56+Q56</f>
        <v>70500</v>
      </c>
      <c r="AB56" s="184"/>
      <c r="AC56" s="184"/>
      <c r="AD56" s="184"/>
    </row>
  </sheetData>
  <sheetProtection algorithmName="SHA-512" hashValue="DfNZK2bcdAIrVB5aqmwx9ODwswsw39PNHmAmL90127UyuoVmFGw7xCFr4OVyy9DSojbVW4AmHvzKa2NBe2qYUQ==" saltValue="l8FyVNY250/CbB0mjfpDoQ==" spinCount="100000" sheet="1" objects="1" scenarios="1"/>
  <mergeCells count="118">
    <mergeCell ref="D38:F38"/>
    <mergeCell ref="H38:J38"/>
    <mergeCell ref="K38:T38"/>
    <mergeCell ref="U38:Y38"/>
    <mergeCell ref="Z38:AD38"/>
    <mergeCell ref="A39:C39"/>
    <mergeCell ref="D39:F39"/>
    <mergeCell ref="H39:J39"/>
    <mergeCell ref="K39:T39"/>
    <mergeCell ref="A42:C42"/>
    <mergeCell ref="Z36:AD36"/>
    <mergeCell ref="A37:C37"/>
    <mergeCell ref="D37:F37"/>
    <mergeCell ref="H37:J37"/>
    <mergeCell ref="A48:F48"/>
    <mergeCell ref="G48:J48"/>
    <mergeCell ref="K48:P48"/>
    <mergeCell ref="U48:Z48"/>
    <mergeCell ref="Q48:T48"/>
    <mergeCell ref="AA48:AD48"/>
    <mergeCell ref="D41:F41"/>
    <mergeCell ref="H41:J41"/>
    <mergeCell ref="K41:T41"/>
    <mergeCell ref="U41:Y41"/>
    <mergeCell ref="Z37:AD37"/>
    <mergeCell ref="A36:C36"/>
    <mergeCell ref="D36:F36"/>
    <mergeCell ref="H36:J36"/>
    <mergeCell ref="U36:Y36"/>
    <mergeCell ref="K37:T37"/>
    <mergeCell ref="U37:Y37"/>
    <mergeCell ref="Z39:AD39"/>
    <mergeCell ref="A38:C38"/>
    <mergeCell ref="D42:F42"/>
    <mergeCell ref="H42:J42"/>
    <mergeCell ref="K42:T42"/>
    <mergeCell ref="U42:Y42"/>
    <mergeCell ref="Z42:AD42"/>
    <mergeCell ref="U43:Y43"/>
    <mergeCell ref="U32:AD33"/>
    <mergeCell ref="A34:C35"/>
    <mergeCell ref="D34:J34"/>
    <mergeCell ref="K36:T36"/>
    <mergeCell ref="A43:C43"/>
    <mergeCell ref="D43:F43"/>
    <mergeCell ref="H43:J43"/>
    <mergeCell ref="K43:T43"/>
    <mergeCell ref="U39:Y39"/>
    <mergeCell ref="Z41:AD41"/>
    <mergeCell ref="A40:C40"/>
    <mergeCell ref="D40:F40"/>
    <mergeCell ref="H40:J40"/>
    <mergeCell ref="K40:T40"/>
    <mergeCell ref="U40:Y40"/>
    <mergeCell ref="Z40:AD40"/>
    <mergeCell ref="A41:C41"/>
    <mergeCell ref="Z43:AD43"/>
    <mergeCell ref="A55:F55"/>
    <mergeCell ref="G55:J55"/>
    <mergeCell ref="K55:P55"/>
    <mergeCell ref="Q55:T55"/>
    <mergeCell ref="U55:Z55"/>
    <mergeCell ref="AA55:AD55"/>
    <mergeCell ref="Z45:AD45"/>
    <mergeCell ref="A44:C44"/>
    <mergeCell ref="D44:F44"/>
    <mergeCell ref="H44:J44"/>
    <mergeCell ref="K44:T44"/>
    <mergeCell ref="U44:Y44"/>
    <mergeCell ref="Z44:AD44"/>
    <mergeCell ref="A45:C45"/>
    <mergeCell ref="D45:F45"/>
    <mergeCell ref="H45:J45"/>
    <mergeCell ref="K45:T45"/>
    <mergeCell ref="U45:Y45"/>
    <mergeCell ref="A51:F51"/>
    <mergeCell ref="G51:J51"/>
    <mergeCell ref="B52:AI52"/>
    <mergeCell ref="AE48:AJ48"/>
    <mergeCell ref="G49:J49"/>
    <mergeCell ref="Q49:T49"/>
    <mergeCell ref="AV33:AV35"/>
    <mergeCell ref="AW33:AW35"/>
    <mergeCell ref="AX33:AX35"/>
    <mergeCell ref="A25:J25"/>
    <mergeCell ref="A26:J26"/>
    <mergeCell ref="D35:F35"/>
    <mergeCell ref="H35:J35"/>
    <mergeCell ref="A31:C33"/>
    <mergeCell ref="D31:J33"/>
    <mergeCell ref="K31:T33"/>
    <mergeCell ref="U31:AD31"/>
    <mergeCell ref="U27:AD27"/>
    <mergeCell ref="K34:T35"/>
    <mergeCell ref="U34:Y35"/>
    <mergeCell ref="Z34:AD35"/>
    <mergeCell ref="K27:T27"/>
    <mergeCell ref="K29:T29"/>
    <mergeCell ref="U29:AD29"/>
    <mergeCell ref="A28:J28"/>
    <mergeCell ref="A29:J29"/>
    <mergeCell ref="A27:J27"/>
    <mergeCell ref="AS34:AS35"/>
    <mergeCell ref="K28:T28"/>
    <mergeCell ref="U28:AD28"/>
    <mergeCell ref="AA49:AD49"/>
    <mergeCell ref="AK49:AN49"/>
    <mergeCell ref="G56:J56"/>
    <mergeCell ref="Q56:T56"/>
    <mergeCell ref="AA56:AD56"/>
    <mergeCell ref="AT34:AT35"/>
    <mergeCell ref="AU34:AU35"/>
    <mergeCell ref="AQ33:AQ35"/>
    <mergeCell ref="AR33:AR35"/>
    <mergeCell ref="AS33:AU33"/>
    <mergeCell ref="AK48:AN48"/>
    <mergeCell ref="K51:P51"/>
    <mergeCell ref="Q51:T51"/>
  </mergeCells>
  <phoneticPr fontId="1"/>
  <dataValidations count="2">
    <dataValidation imeMode="off" allowBlank="1" showInputMessage="1" showErrorMessage="1" sqref="D36:F45 H36:J45" xr:uid="{00000000-0002-0000-0000-000000000000}"/>
    <dataValidation type="whole" operator="greaterThanOrEqual" allowBlank="1" showInputMessage="1" showErrorMessage="1" error="枚数には １以上の整数を入力してください。" sqref="A29:J29" xr:uid="{00000000-0002-0000-0000-000001000000}">
      <formula1>1</formula1>
    </dataValidation>
  </dataValidations>
  <hyperlinks>
    <hyperlink ref="D6:Y6" r:id="rId1" display="「国際出願関係手数料改定時に必要な手続等について」" xr:uid="{458E2E55-F508-4A77-ADD0-1EDC73280C25}"/>
  </hyperlinks>
  <pageMargins left="0.70866141732283472" right="0.70866141732283472" top="1.1417322834645669" bottom="0.74803149606299213" header="0.31496062992125984" footer="0.31496062992125984"/>
  <pageSetup paperSize="9" scale="62" fitToHeight="0" orientation="portrait" r:id="rId2"/>
  <headerFooter differentFirst="1"/>
  <extLst>
    <ext xmlns:x14="http://schemas.microsoft.com/office/spreadsheetml/2009/9/main" uri="{CCE6A557-97BC-4b89-ADB6-D9C93CAAB3DF}">
      <x14:dataValidations xmlns:xm="http://schemas.microsoft.com/office/excel/2006/main" count="2">
        <x14:dataValidation type="list" imeMode="off" allowBlank="1" showInputMessage="1" showErrorMessage="1" xr:uid="{00000000-0002-0000-0000-000002000000}">
          <x14:formula1>
            <xm:f>要件!$B$3:$B$9</xm:f>
          </x14:formula1>
          <xm:sqref>K36:T45</xm:sqref>
        </x14:dataValidation>
        <x14:dataValidation type="list" allowBlank="1" showInputMessage="1" showErrorMessage="1" error="オンライン出願には、Yes 又は No を入力してください。" xr:uid="{00000000-0002-0000-0000-000003000000}">
          <x14:formula1>
            <xm:f>要件!$G$3:$G$4</xm:f>
          </x14:formula1>
          <xm:sqref>K29:T29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31"/>
  <sheetViews>
    <sheetView zoomScale="90" zoomScaleNormal="90" workbookViewId="0"/>
  </sheetViews>
  <sheetFormatPr defaultRowHeight="18.75" x14ac:dyDescent="0.4"/>
  <cols>
    <col min="1" max="1" width="25" customWidth="1"/>
    <col min="2" max="2" width="63.75" customWidth="1"/>
    <col min="3" max="3" width="4.125" style="25" customWidth="1"/>
    <col min="4" max="4" width="10.625" customWidth="1"/>
  </cols>
  <sheetData>
    <row r="1" spans="1:4" ht="24" x14ac:dyDescent="0.4">
      <c r="A1" s="118" t="s">
        <v>119</v>
      </c>
    </row>
    <row r="2" spans="1:4" ht="24" x14ac:dyDescent="0.4">
      <c r="A2" s="118" t="s">
        <v>120</v>
      </c>
    </row>
    <row r="3" spans="1:4" ht="19.5" thickBot="1" x14ac:dyDescent="0.45"/>
    <row r="4" spans="1:4" ht="18.75" customHeight="1" thickBot="1" x14ac:dyDescent="0.45">
      <c r="A4" s="121" t="s">
        <v>94</v>
      </c>
    </row>
    <row r="5" spans="1:4" ht="20.25" customHeight="1" thickBot="1" x14ac:dyDescent="0.45">
      <c r="A5" s="67">
        <f>出願人要件等入力!AS$1</f>
        <v>45931</v>
      </c>
    </row>
    <row r="6" spans="1:4" ht="20.25" customHeight="1" x14ac:dyDescent="0.4">
      <c r="A6" s="70"/>
    </row>
    <row r="7" spans="1:4" ht="26.25" thickBot="1" x14ac:dyDescent="0.45">
      <c r="A7" s="84" t="s">
        <v>103</v>
      </c>
    </row>
    <row r="8" spans="1:4" ht="23.25" customHeight="1" thickBot="1" x14ac:dyDescent="0.45">
      <c r="A8" s="68" t="s">
        <v>35</v>
      </c>
      <c r="B8" s="69" t="s">
        <v>36</v>
      </c>
      <c r="C8" s="280" t="s">
        <v>37</v>
      </c>
      <c r="D8" s="281"/>
    </row>
    <row r="9" spans="1:4" x14ac:dyDescent="0.4">
      <c r="A9" s="39" t="s">
        <v>38</v>
      </c>
      <c r="B9" s="33" t="s">
        <v>39</v>
      </c>
      <c r="C9" s="34"/>
      <c r="D9" s="27">
        <f>出願人要件等入力!AS3</f>
        <v>17000</v>
      </c>
    </row>
    <row r="10" spans="1:4" x14ac:dyDescent="0.4">
      <c r="A10" s="40"/>
      <c r="B10" s="35" t="s">
        <v>40</v>
      </c>
      <c r="C10" s="36"/>
      <c r="D10" s="28">
        <f>出願人要件等入力!AS4</f>
        <v>143000</v>
      </c>
    </row>
    <row r="11" spans="1:4" x14ac:dyDescent="0.4">
      <c r="A11" s="40"/>
      <c r="B11" s="35" t="s">
        <v>41</v>
      </c>
      <c r="C11" s="36"/>
      <c r="D11" s="28">
        <f>出願人要件等入力!AS11</f>
        <v>169000</v>
      </c>
    </row>
    <row r="12" spans="1:4" x14ac:dyDescent="0.4">
      <c r="A12" s="40"/>
      <c r="B12" s="35" t="s">
        <v>42</v>
      </c>
      <c r="C12" s="36"/>
      <c r="D12" s="28">
        <f>出願人要件等入力!AS12</f>
        <v>317600</v>
      </c>
    </row>
    <row r="13" spans="1:4" x14ac:dyDescent="0.4">
      <c r="A13" s="40"/>
      <c r="B13" s="35" t="s">
        <v>43</v>
      </c>
      <c r="C13" s="36"/>
      <c r="D13" s="28">
        <f>出願人要件等入力!AS5</f>
        <v>242700</v>
      </c>
    </row>
    <row r="14" spans="1:4" x14ac:dyDescent="0.4">
      <c r="A14" s="40"/>
      <c r="B14" s="35" t="s">
        <v>44</v>
      </c>
      <c r="C14" s="36"/>
      <c r="D14" s="28">
        <f>出願人要件等入力!AS6</f>
        <v>2700</v>
      </c>
    </row>
    <row r="15" spans="1:4" ht="19.5" thickBot="1" x14ac:dyDescent="0.45">
      <c r="A15" s="41"/>
      <c r="B15" s="37" t="s">
        <v>45</v>
      </c>
      <c r="C15" s="38" t="s">
        <v>46</v>
      </c>
      <c r="D15" s="30">
        <f>出願人要件等入力!AS7</f>
        <v>54700</v>
      </c>
    </row>
    <row r="16" spans="1:4" x14ac:dyDescent="0.4">
      <c r="A16" s="39" t="s">
        <v>47</v>
      </c>
      <c r="B16" s="33" t="s">
        <v>48</v>
      </c>
      <c r="C16" s="34"/>
      <c r="D16" s="27">
        <f>出願人要件等入力!AS8</f>
        <v>34000</v>
      </c>
    </row>
    <row r="17" spans="1:4" ht="19.5" thickBot="1" x14ac:dyDescent="0.45">
      <c r="A17" s="41"/>
      <c r="B17" s="37" t="s">
        <v>49</v>
      </c>
      <c r="C17" s="38"/>
      <c r="D17" s="30">
        <f>出願人要件等入力!AS9</f>
        <v>36500</v>
      </c>
    </row>
    <row r="21" spans="1:4" ht="26.25" thickBot="1" x14ac:dyDescent="0.45">
      <c r="A21" s="84" t="s">
        <v>104</v>
      </c>
    </row>
    <row r="22" spans="1:4" ht="24.75" customHeight="1" thickBot="1" x14ac:dyDescent="0.45">
      <c r="A22" s="68" t="s">
        <v>35</v>
      </c>
      <c r="B22" s="69" t="s">
        <v>36</v>
      </c>
      <c r="C22" s="280" t="s">
        <v>37</v>
      </c>
      <c r="D22" s="281"/>
    </row>
    <row r="23" spans="1:4" x14ac:dyDescent="0.4">
      <c r="A23" s="39" t="s">
        <v>38</v>
      </c>
      <c r="B23" s="33" t="s">
        <v>39</v>
      </c>
      <c r="C23" s="34"/>
      <c r="D23" s="27">
        <f ca="1">出願人要件等入力!G48</f>
        <v>0</v>
      </c>
    </row>
    <row r="24" spans="1:4" x14ac:dyDescent="0.4">
      <c r="A24" s="40"/>
      <c r="B24" s="35" t="s">
        <v>40</v>
      </c>
      <c r="C24" s="36"/>
      <c r="D24" s="28">
        <f ca="1">出願人要件等入力!Q48</f>
        <v>0</v>
      </c>
    </row>
    <row r="25" spans="1:4" x14ac:dyDescent="0.4">
      <c r="A25" s="40"/>
      <c r="B25" s="35" t="s">
        <v>41</v>
      </c>
      <c r="C25" s="36"/>
      <c r="D25" s="28">
        <f>D11</f>
        <v>169000</v>
      </c>
    </row>
    <row r="26" spans="1:4" x14ac:dyDescent="0.4">
      <c r="A26" s="40"/>
      <c r="B26" s="35" t="s">
        <v>42</v>
      </c>
      <c r="C26" s="36"/>
      <c r="D26" s="28">
        <f>D12</f>
        <v>317600</v>
      </c>
    </row>
    <row r="27" spans="1:4" x14ac:dyDescent="0.4">
      <c r="A27" s="40"/>
      <c r="B27" s="35" t="s">
        <v>43</v>
      </c>
      <c r="C27" s="36"/>
      <c r="D27" s="28">
        <f ca="1">ROUNDDOWN(SUM(出願人要件等入力!AS36:AS45),-1)</f>
        <v>0</v>
      </c>
    </row>
    <row r="28" spans="1:4" x14ac:dyDescent="0.4">
      <c r="A28" s="40"/>
      <c r="B28" s="35" t="s">
        <v>44</v>
      </c>
      <c r="C28" s="36"/>
      <c r="D28" s="28">
        <f ca="1">ROUNDDOWN(SUM(出願人要件等入力!AT36:AT45),-1)</f>
        <v>0</v>
      </c>
    </row>
    <row r="29" spans="1:4" ht="19.5" thickBot="1" x14ac:dyDescent="0.45">
      <c r="A29" s="41"/>
      <c r="B29" s="37" t="s">
        <v>45</v>
      </c>
      <c r="C29" s="38" t="s">
        <v>46</v>
      </c>
      <c r="D29" s="30">
        <f ca="1">ROUNDDOWN(SUM(出願人要件等入力!AU36:AU45),-1)</f>
        <v>0</v>
      </c>
    </row>
    <row r="30" spans="1:4" x14ac:dyDescent="0.4">
      <c r="A30" s="26" t="s">
        <v>47</v>
      </c>
      <c r="B30" s="33" t="s">
        <v>48</v>
      </c>
      <c r="C30" s="34"/>
      <c r="D30" s="27">
        <f ca="1">出願人要件等入力!G55</f>
        <v>0</v>
      </c>
    </row>
    <row r="31" spans="1:4" ht="19.5" thickBot="1" x14ac:dyDescent="0.45">
      <c r="A31" s="29"/>
      <c r="B31" s="37" t="s">
        <v>49</v>
      </c>
      <c r="C31" s="38"/>
      <c r="D31" s="30">
        <f ca="1">出願人要件等入力!Q55</f>
        <v>0</v>
      </c>
    </row>
  </sheetData>
  <sheetProtection algorithmName="SHA-512" hashValue="GhXUdDvcLwxNZJIbznYtgX/jOv9oYAxbwkLQ9NOv6egqQgeEWi9YU0DFE1x3Zu00naBuoxmMrnO7451Wa3k13g==" saltValue="KHEa8J/LEX+Pcq7gVqXjCQ==" spinCount="100000" sheet="1" objects="1" scenarios="1"/>
  <mergeCells count="2">
    <mergeCell ref="C8:D8"/>
    <mergeCell ref="C22:D22"/>
  </mergeCells>
  <phoneticPr fontId="1"/>
  <conditionalFormatting sqref="D23:D31">
    <cfRule type="expression" dxfId="2" priority="1">
      <formula>D9&lt;&gt;D23</formula>
    </cfRule>
  </conditionalFormatting>
  <pageMargins left="0.70866141732283472" right="0.70866141732283472" top="0.74803149606299213" bottom="0.74803149606299213" header="0.31496062992125984" footer="0.31496062992125984"/>
  <pageSetup paperSize="9" scale="77"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Y46"/>
  <sheetViews>
    <sheetView zoomScale="90" zoomScaleNormal="90" workbookViewId="0"/>
  </sheetViews>
  <sheetFormatPr defaultRowHeight="18.75" x14ac:dyDescent="0.4"/>
  <cols>
    <col min="2" max="2" width="3.625" customWidth="1"/>
    <col min="3" max="3" width="1" customWidth="1"/>
    <col min="4" max="32" width="3.625" customWidth="1"/>
  </cols>
  <sheetData>
    <row r="1" spans="1:25" ht="24" x14ac:dyDescent="0.4">
      <c r="A1" s="118" t="s">
        <v>117</v>
      </c>
    </row>
    <row r="2" spans="1:25" ht="24" x14ac:dyDescent="0.4">
      <c r="A2" s="118" t="s">
        <v>118</v>
      </c>
    </row>
    <row r="4" spans="1:25" x14ac:dyDescent="0.4">
      <c r="B4" s="283" t="s">
        <v>94</v>
      </c>
      <c r="C4" s="283"/>
      <c r="D4" s="283"/>
      <c r="E4" s="283"/>
      <c r="F4" s="283"/>
      <c r="G4" s="283"/>
      <c r="H4" s="283"/>
    </row>
    <row r="5" spans="1:25" x14ac:dyDescent="0.4">
      <c r="B5" s="282">
        <f>出願人要件等入力!AS$1</f>
        <v>45931</v>
      </c>
      <c r="C5" s="282"/>
      <c r="D5" s="282"/>
      <c r="E5" s="282"/>
      <c r="F5" s="282"/>
      <c r="G5" s="282"/>
      <c r="H5" s="282"/>
    </row>
    <row r="7" spans="1:25" ht="90" customHeight="1" x14ac:dyDescent="0.4">
      <c r="A7" s="299" t="str">
        <f>IF(出願人要件等入力!K29=要件!G3,"※「出願人要件等入力」シートの「"&amp;出願人要件等入力!K28&amp;"」で「"&amp;要件!G3&amp;"」と入力していますが、このシートでは書面手続を想定していますので、オンラインの減額は考慮されていません。","")&amp;IF(出願人要件等入力!A29="",IF(出願人要件等入力!K29=要件!G3,CHAR(10),"")&amp;"※[出願人要件等入力」シートの「"&amp;出願人要件等入力!A28&amp;"」が未入力のため、「用紙の枚数」が正しく表示されていません。","")</f>
        <v>※[出願人要件等入力」シートの「国際出願に含まれる用紙の枚数」が未入力のため、「用紙の枚数」が正しく表示されていません。</v>
      </c>
      <c r="B7" s="299"/>
      <c r="C7" s="299"/>
      <c r="D7" s="299"/>
      <c r="E7" s="299"/>
      <c r="F7" s="299"/>
      <c r="G7" s="299"/>
      <c r="H7" s="299"/>
      <c r="I7" s="299"/>
      <c r="J7" s="299"/>
      <c r="K7" s="299"/>
      <c r="L7" s="299"/>
      <c r="M7" s="299"/>
      <c r="N7" s="299"/>
      <c r="O7" s="299"/>
      <c r="P7" s="299"/>
      <c r="Q7" s="299"/>
      <c r="R7" s="299"/>
      <c r="S7" s="299"/>
      <c r="T7" s="299"/>
      <c r="U7" s="299"/>
      <c r="V7" s="299"/>
      <c r="W7" s="299"/>
      <c r="X7" s="299"/>
      <c r="Y7" s="299"/>
    </row>
    <row r="9" spans="1:25" ht="19.5" x14ac:dyDescent="0.4">
      <c r="A9" s="117" t="s">
        <v>134</v>
      </c>
    </row>
    <row r="11" spans="1:25" x14ac:dyDescent="0.4">
      <c r="B11" s="58" t="s">
        <v>57</v>
      </c>
      <c r="C11" s="58"/>
      <c r="D11" s="49" t="s">
        <v>54</v>
      </c>
      <c r="E11" s="49"/>
      <c r="H11" s="59"/>
      <c r="I11" s="59"/>
      <c r="J11" s="59"/>
      <c r="K11" s="59"/>
      <c r="L11" s="59"/>
      <c r="M11" s="59"/>
      <c r="N11" s="59"/>
      <c r="O11" s="59"/>
      <c r="P11" s="59"/>
      <c r="R11" s="293">
        <f ca="1">出願人要件等入力!G48</f>
        <v>0</v>
      </c>
      <c r="S11" s="294"/>
      <c r="T11" s="294"/>
      <c r="U11" s="294"/>
      <c r="V11" s="47" t="s">
        <v>63</v>
      </c>
      <c r="W11" s="48" t="s">
        <v>72</v>
      </c>
    </row>
    <row r="13" spans="1:25" x14ac:dyDescent="0.4">
      <c r="B13" s="58" t="s">
        <v>56</v>
      </c>
      <c r="C13" s="58"/>
      <c r="D13" s="49" t="s">
        <v>55</v>
      </c>
      <c r="E13" s="49"/>
      <c r="H13" s="59"/>
      <c r="I13" s="59"/>
      <c r="J13" s="59"/>
      <c r="K13" s="59"/>
      <c r="L13" s="59"/>
      <c r="M13" s="59"/>
      <c r="N13" s="59"/>
      <c r="O13" s="59"/>
      <c r="P13" s="59"/>
      <c r="R13" s="293">
        <f ca="1">出願人要件等入力!Q48</f>
        <v>0</v>
      </c>
      <c r="S13" s="294"/>
      <c r="T13" s="294"/>
      <c r="U13" s="294"/>
      <c r="V13" s="47" t="s">
        <v>63</v>
      </c>
      <c r="W13" s="48" t="s">
        <v>71</v>
      </c>
    </row>
    <row r="15" spans="1:25" x14ac:dyDescent="0.4">
      <c r="B15" s="44" t="s">
        <v>59</v>
      </c>
      <c r="C15" s="44"/>
      <c r="D15" s="49" t="s">
        <v>58</v>
      </c>
    </row>
    <row r="16" spans="1:25" ht="9.9499999999999993" customHeight="1" x14ac:dyDescent="0.4">
      <c r="B16" s="44"/>
      <c r="C16" s="44"/>
    </row>
    <row r="17" spans="1:23" x14ac:dyDescent="0.4">
      <c r="D17" s="49" t="s">
        <v>52</v>
      </c>
      <c r="L17" s="292" t="str">
        <f>IF(出願人要件等入力!A29&gt;0,出願人要件等入力!A29,"")</f>
        <v/>
      </c>
      <c r="M17" s="292"/>
      <c r="N17" s="50" t="s">
        <v>66</v>
      </c>
    </row>
    <row r="18" spans="1:23" ht="9.9499999999999993" customHeight="1" x14ac:dyDescent="0.4"/>
    <row r="19" spans="1:23" x14ac:dyDescent="0.4">
      <c r="B19" s="48" t="s">
        <v>65</v>
      </c>
      <c r="D19" s="31" t="s">
        <v>53</v>
      </c>
      <c r="I19" s="59"/>
      <c r="J19" s="59"/>
      <c r="K19" s="59"/>
      <c r="L19" s="59"/>
      <c r="M19" s="59"/>
      <c r="O19" s="293">
        <f ca="1">ROUNDDOWN(SUM(出願人要件等入力!AS36:AS45),-1)</f>
        <v>0</v>
      </c>
      <c r="P19" s="294"/>
      <c r="Q19" s="294"/>
      <c r="R19" s="294"/>
      <c r="S19" s="47" t="s">
        <v>63</v>
      </c>
      <c r="T19" s="48" t="s">
        <v>65</v>
      </c>
    </row>
    <row r="20" spans="1:23" ht="9.9499999999999993" customHeight="1" x14ac:dyDescent="0.4"/>
    <row r="21" spans="1:23" x14ac:dyDescent="0.4">
      <c r="B21" s="48" t="s">
        <v>64</v>
      </c>
      <c r="D21" s="286" t="str">
        <f>IF(L17="","",IF(L17&gt;30,L17-30,""))</f>
        <v/>
      </c>
      <c r="E21" s="286"/>
      <c r="F21" s="286"/>
      <c r="G21" s="286"/>
      <c r="H21" s="286"/>
      <c r="I21" s="25" t="s">
        <v>74</v>
      </c>
      <c r="J21" s="288">
        <f ca="1">ROUNDDOWN(SUM(出願人要件等入力!AT36:AT45),-1)</f>
        <v>0</v>
      </c>
      <c r="K21" s="288"/>
      <c r="L21" s="288"/>
      <c r="M21" s="288"/>
      <c r="N21" s="25" t="s">
        <v>62</v>
      </c>
      <c r="O21" s="290" t="str">
        <f>IF(D21="","",D21*J21)</f>
        <v/>
      </c>
      <c r="P21" s="291"/>
      <c r="Q21" s="291"/>
      <c r="R21" s="291"/>
      <c r="S21" s="47" t="s">
        <v>63</v>
      </c>
      <c r="T21" s="48" t="s">
        <v>64</v>
      </c>
    </row>
    <row r="22" spans="1:23" x14ac:dyDescent="0.4">
      <c r="D22" s="287" t="s">
        <v>60</v>
      </c>
      <c r="E22" s="287"/>
      <c r="F22" s="287"/>
      <c r="G22" s="287"/>
      <c r="H22" s="287"/>
      <c r="I22" s="45"/>
      <c r="J22" s="289" t="s">
        <v>61</v>
      </c>
      <c r="K22" s="289"/>
      <c r="L22" s="289"/>
      <c r="M22" s="289"/>
    </row>
    <row r="23" spans="1:23" ht="9.9499999999999993" customHeight="1" x14ac:dyDescent="0.4">
      <c r="D23" s="51"/>
      <c r="E23" s="51"/>
      <c r="F23" s="51"/>
      <c r="G23" s="51"/>
      <c r="H23" s="51"/>
      <c r="I23" s="45"/>
      <c r="J23" s="46"/>
      <c r="K23" s="46"/>
      <c r="L23" s="46"/>
      <c r="M23" s="46"/>
    </row>
    <row r="24" spans="1:23" x14ac:dyDescent="0.4">
      <c r="D24" s="54" t="s">
        <v>69</v>
      </c>
      <c r="E24" s="55"/>
      <c r="F24" s="55"/>
      <c r="G24" s="55"/>
      <c r="H24" s="55"/>
      <c r="I24" s="56"/>
      <c r="J24" s="57"/>
      <c r="K24" s="57"/>
      <c r="L24" s="57"/>
      <c r="M24" s="57"/>
      <c r="N24" s="49"/>
      <c r="O24" s="49"/>
      <c r="P24" s="59"/>
      <c r="R24" s="293">
        <f ca="1">IF(O21="",O19,O19+O21)</f>
        <v>0</v>
      </c>
      <c r="S24" s="294"/>
      <c r="T24" s="294"/>
      <c r="U24" s="294"/>
      <c r="V24" s="47" t="s">
        <v>63</v>
      </c>
      <c r="W24" s="48" t="s">
        <v>70</v>
      </c>
    </row>
    <row r="25" spans="1:23" ht="9.9499999999999993" customHeight="1" x14ac:dyDescent="0.4">
      <c r="D25" s="52"/>
      <c r="E25" s="51"/>
      <c r="F25" s="51"/>
      <c r="G25" s="51"/>
      <c r="H25" s="51"/>
      <c r="I25" s="45"/>
      <c r="J25" s="46"/>
      <c r="K25" s="46"/>
      <c r="L25" s="46"/>
      <c r="M25" s="46"/>
    </row>
    <row r="26" spans="1:23" ht="34.5" customHeight="1" x14ac:dyDescent="0.4">
      <c r="D26" s="62" t="s">
        <v>67</v>
      </c>
      <c r="E26" s="51"/>
      <c r="F26" s="51"/>
      <c r="G26" s="51"/>
      <c r="H26" s="51"/>
      <c r="I26" s="45"/>
      <c r="J26" s="46"/>
      <c r="K26" s="46"/>
      <c r="L26" s="46"/>
      <c r="M26" s="46"/>
    </row>
    <row r="27" spans="1:23" ht="9.9499999999999993" customHeight="1" x14ac:dyDescent="0.4">
      <c r="D27" s="53"/>
      <c r="E27" s="51"/>
      <c r="F27" s="51"/>
      <c r="G27" s="51"/>
      <c r="H27" s="51"/>
      <c r="I27" s="45"/>
      <c r="J27" s="46"/>
      <c r="K27" s="46"/>
      <c r="L27" s="46"/>
      <c r="M27" s="46"/>
    </row>
    <row r="28" spans="1:23" ht="20.25" customHeight="1" x14ac:dyDescent="0.4">
      <c r="B28" s="44" t="s">
        <v>68</v>
      </c>
      <c r="D28" t="s">
        <v>87</v>
      </c>
      <c r="K28" s="59"/>
      <c r="L28" s="59"/>
      <c r="M28" s="59"/>
      <c r="N28" s="59"/>
      <c r="O28" s="59"/>
      <c r="P28" s="59"/>
      <c r="R28" s="295">
        <f ca="1">R11+R13+R24</f>
        <v>0</v>
      </c>
      <c r="S28" s="296"/>
      <c r="T28" s="296"/>
      <c r="U28" s="296"/>
      <c r="V28" s="296"/>
      <c r="W28" s="284" t="s">
        <v>63</v>
      </c>
    </row>
    <row r="29" spans="1:23" ht="12.75" customHeight="1" x14ac:dyDescent="0.4">
      <c r="R29" s="297"/>
      <c r="S29" s="298"/>
      <c r="T29" s="298"/>
      <c r="U29" s="298"/>
      <c r="V29" s="298"/>
      <c r="W29" s="285"/>
    </row>
    <row r="30" spans="1:23" x14ac:dyDescent="0.4">
      <c r="R30" s="300" t="s">
        <v>73</v>
      </c>
      <c r="S30" s="301"/>
      <c r="T30" s="301"/>
      <c r="U30" s="301"/>
      <c r="V30" s="301"/>
      <c r="W30" s="302"/>
    </row>
    <row r="32" spans="1:23" ht="19.5" x14ac:dyDescent="0.4">
      <c r="A32" s="119" t="s">
        <v>95</v>
      </c>
    </row>
    <row r="34" spans="1:23" x14ac:dyDescent="0.4">
      <c r="D34" t="s">
        <v>83</v>
      </c>
      <c r="J34" s="303">
        <f ca="1">ROUNDDOWN(SUM(出願人要件等入力!AX36:AX45),-1)</f>
        <v>0</v>
      </c>
      <c r="K34" s="304"/>
      <c r="L34" s="304"/>
      <c r="M34" s="304"/>
      <c r="N34" s="304"/>
      <c r="O34" t="s">
        <v>63</v>
      </c>
    </row>
    <row r="35" spans="1:23" x14ac:dyDescent="0.4">
      <c r="J35" s="25"/>
      <c r="K35" s="25"/>
      <c r="L35" s="25"/>
      <c r="M35" s="25"/>
      <c r="N35" s="25"/>
    </row>
    <row r="36" spans="1:23" ht="139.5" customHeight="1" x14ac:dyDescent="0.4">
      <c r="B36" s="81" t="s">
        <v>102</v>
      </c>
      <c r="D36" s="305" t="str">
        <f>出願人要件等入力!B52</f>
        <v>出願時に先の調査の利用請求をした場合又は、日本国特許庁が国際調査機関(ISA/JP)の国際出願を優先権主張した場合であって、 国際調査報告と同時作成される「先の調査等の 結果の利用状況に関する通知書」(番外2)において「利用できる」とされた場合に、「調査手数料一部返還請求書」を提出することにより返還される金額です。
なお、上記は、2022年4月1日以降に出願されたものの返還額です。2022年3月31日以前に出願されたものの返還額をお知りになりたい場合は、受理官庁担当(内線2643)にお問い合わせください。</v>
      </c>
      <c r="E36" s="306"/>
      <c r="F36" s="306"/>
      <c r="G36" s="306"/>
      <c r="H36" s="306"/>
      <c r="I36" s="306"/>
      <c r="J36" s="306"/>
      <c r="K36" s="306"/>
      <c r="L36" s="306"/>
      <c r="M36" s="306"/>
      <c r="N36" s="306"/>
      <c r="O36" s="306"/>
      <c r="P36" s="306"/>
      <c r="Q36" s="306"/>
      <c r="R36" s="306"/>
      <c r="S36" s="306"/>
      <c r="T36" s="306"/>
      <c r="U36" s="306"/>
      <c r="V36" s="306"/>
      <c r="W36" s="306"/>
    </row>
    <row r="37" spans="1:23" ht="19.5" customHeight="1" x14ac:dyDescent="0.4">
      <c r="B37" s="81"/>
      <c r="D37" s="82"/>
      <c r="E37" s="83"/>
      <c r="F37" s="83"/>
      <c r="G37" s="83"/>
      <c r="H37" s="83"/>
      <c r="I37" s="83"/>
      <c r="J37" s="83"/>
      <c r="K37" s="83"/>
      <c r="L37" s="83"/>
      <c r="M37" s="83"/>
      <c r="N37" s="83"/>
      <c r="O37" s="83"/>
      <c r="P37" s="83"/>
      <c r="Q37" s="83"/>
      <c r="R37" s="83"/>
      <c r="S37" s="83"/>
      <c r="T37" s="83"/>
      <c r="U37" s="83"/>
      <c r="V37" s="83"/>
      <c r="W37" s="83"/>
    </row>
    <row r="38" spans="1:23" ht="19.5" x14ac:dyDescent="0.4">
      <c r="A38" s="120" t="s">
        <v>135</v>
      </c>
    </row>
    <row r="40" spans="1:23" x14ac:dyDescent="0.4">
      <c r="B40" s="44" t="s">
        <v>76</v>
      </c>
      <c r="D40" t="s">
        <v>75</v>
      </c>
      <c r="I40" s="59"/>
      <c r="J40" s="59"/>
      <c r="K40" s="59"/>
      <c r="L40" s="59"/>
      <c r="M40" s="59"/>
      <c r="N40" s="59"/>
      <c r="O40" s="59"/>
      <c r="P40" s="59"/>
      <c r="R40" s="293">
        <f ca="1">ROUNDDOWN(SUM(出願人要件等入力!AV36:AV45),-1)</f>
        <v>0</v>
      </c>
      <c r="S40" s="294"/>
      <c r="T40" s="294"/>
      <c r="U40" s="294"/>
      <c r="V40" s="47" t="s">
        <v>63</v>
      </c>
      <c r="W40" s="48" t="s">
        <v>81</v>
      </c>
    </row>
    <row r="42" spans="1:23" x14ac:dyDescent="0.4">
      <c r="B42" s="44" t="s">
        <v>78</v>
      </c>
      <c r="D42" t="s">
        <v>77</v>
      </c>
      <c r="H42" s="59"/>
      <c r="I42" s="59"/>
      <c r="J42" s="59"/>
      <c r="K42" s="59"/>
      <c r="L42" s="59"/>
      <c r="M42" s="59"/>
      <c r="N42" s="59"/>
      <c r="O42" s="59"/>
      <c r="P42" s="59"/>
      <c r="R42" s="293">
        <f ca="1">ROUNDDOWN(SUM(出願人要件等入力!AW36:AW45),-1)</f>
        <v>0</v>
      </c>
      <c r="S42" s="294"/>
      <c r="T42" s="294"/>
      <c r="U42" s="294"/>
      <c r="V42" s="47" t="s">
        <v>63</v>
      </c>
      <c r="W42" s="48" t="s">
        <v>82</v>
      </c>
    </row>
    <row r="44" spans="1:23" x14ac:dyDescent="0.4">
      <c r="B44" s="44" t="s">
        <v>80</v>
      </c>
      <c r="D44" t="s">
        <v>79</v>
      </c>
      <c r="J44" s="59"/>
      <c r="K44" s="59"/>
      <c r="L44" s="59"/>
      <c r="M44" s="59"/>
      <c r="N44" s="59"/>
      <c r="O44" s="59"/>
      <c r="P44" s="59"/>
      <c r="R44" s="295">
        <f ca="1">R40+R42</f>
        <v>0</v>
      </c>
      <c r="S44" s="296"/>
      <c r="T44" s="296"/>
      <c r="U44" s="296"/>
      <c r="V44" s="296"/>
      <c r="W44" s="284" t="s">
        <v>63</v>
      </c>
    </row>
    <row r="45" spans="1:23" ht="12" customHeight="1" x14ac:dyDescent="0.4">
      <c r="R45" s="297"/>
      <c r="S45" s="298"/>
      <c r="T45" s="298"/>
      <c r="U45" s="298"/>
      <c r="V45" s="298"/>
      <c r="W45" s="285"/>
    </row>
    <row r="46" spans="1:23" x14ac:dyDescent="0.4">
      <c r="R46" s="300" t="s">
        <v>73</v>
      </c>
      <c r="S46" s="301"/>
      <c r="T46" s="301"/>
      <c r="U46" s="301"/>
      <c r="V46" s="301"/>
      <c r="W46" s="302"/>
    </row>
  </sheetData>
  <sheetProtection algorithmName="SHA-512" hashValue="6vTr9EPLYPs7JrYdCa2HNKrDsTAs0FtXpBcMOzYkOa1UutfKRvjAV1RRYIXcbAqIq5G2YRH9S+5Z7rJdxlZGQg==" saltValue="SnPGVJiQ2jIVXHf5+i/4Fg==" spinCount="100000" sheet="1" objects="1" scenarios="1"/>
  <mergeCells count="23">
    <mergeCell ref="R46:W46"/>
    <mergeCell ref="J34:N34"/>
    <mergeCell ref="R30:W30"/>
    <mergeCell ref="R40:U40"/>
    <mergeCell ref="R42:U42"/>
    <mergeCell ref="R44:V45"/>
    <mergeCell ref="W44:W45"/>
    <mergeCell ref="D36:W36"/>
    <mergeCell ref="B5:H5"/>
    <mergeCell ref="B4:H4"/>
    <mergeCell ref="W28:W29"/>
    <mergeCell ref="D21:H21"/>
    <mergeCell ref="D22:H22"/>
    <mergeCell ref="J21:M21"/>
    <mergeCell ref="J22:M22"/>
    <mergeCell ref="O21:R21"/>
    <mergeCell ref="L17:M17"/>
    <mergeCell ref="R24:U24"/>
    <mergeCell ref="R13:U13"/>
    <mergeCell ref="R11:U11"/>
    <mergeCell ref="R28:V29"/>
    <mergeCell ref="O19:R19"/>
    <mergeCell ref="A7:Y7"/>
  </mergeCells>
  <phoneticPr fontId="1"/>
  <pageMargins left="0.70866141732283472" right="0.70866141732283472" top="0.8" bottom="0.74803149606299213" header="0.31496062992125984" footer="0.31496062992125984"/>
  <pageSetup paperSize="9" scale="71" fitToWidth="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CCE94-05F7-4000-89E5-FC85FED032AF}">
  <sheetPr codeName="Sheet6">
    <pageSetUpPr fitToPage="1"/>
  </sheetPr>
  <dimension ref="A1:S85"/>
  <sheetViews>
    <sheetView workbookViewId="0"/>
  </sheetViews>
  <sheetFormatPr defaultColWidth="9" defaultRowHeight="13.5" x14ac:dyDescent="0.4"/>
  <cols>
    <col min="1" max="35" width="6.625" style="137" customWidth="1"/>
    <col min="36" max="16384" width="9" style="137"/>
  </cols>
  <sheetData>
    <row r="1" spans="1:9" ht="28.5" customHeight="1" x14ac:dyDescent="0.4">
      <c r="A1" s="141" t="s">
        <v>137</v>
      </c>
    </row>
    <row r="3" spans="1:9" ht="21" x14ac:dyDescent="0.4">
      <c r="A3" s="140" t="s">
        <v>159</v>
      </c>
      <c r="B3" s="138" t="s">
        <v>138</v>
      </c>
    </row>
    <row r="4" spans="1:9" x14ac:dyDescent="0.4">
      <c r="B4" s="137" t="s">
        <v>139</v>
      </c>
    </row>
    <row r="5" spans="1:9" x14ac:dyDescent="0.4">
      <c r="B5" s="137" t="s">
        <v>140</v>
      </c>
    </row>
    <row r="6" spans="1:9" x14ac:dyDescent="0.4">
      <c r="B6" s="137" t="s">
        <v>141</v>
      </c>
    </row>
    <row r="8" spans="1:9" x14ac:dyDescent="0.4">
      <c r="B8" s="137" t="str">
        <f>"出願人A（"&amp; MID(要件!K6,5,50) &amp; ", 手数料の負担割合" &amp;TEXT(要件!L6,"?/?")&amp;"）の単独出願"</f>
        <v>出願人A（中小スタートアップ企業, 手数料の負担割合1/3）の単独出願</v>
      </c>
    </row>
    <row r="9" spans="1:9" x14ac:dyDescent="0.4">
      <c r="C9" s="137" t="str">
        <f>"＜例："&amp;TEXT(要件!K3,"yyyy年m月d日")&amp;"に受理された国際出願の場合＞"</f>
        <v>＜例：2025年1月1日に受理された国際出願の場合＞</v>
      </c>
    </row>
    <row r="10" spans="1:9" x14ac:dyDescent="0.4">
      <c r="C10" s="137" t="s">
        <v>142</v>
      </c>
      <c r="F10" s="137" t="str">
        <f>"規定された金額" &amp; LEFT("     ",8-LEN(TEXT(要件!K17,"###,##0"))) &amp; TEXT(要件!K17,"###,##0 円")</f>
        <v>規定された金額  17,000 円</v>
      </c>
      <c r="I10" s="146"/>
    </row>
    <row r="11" spans="1:9" x14ac:dyDescent="0.4">
      <c r="C11" s="137" t="s">
        <v>143</v>
      </c>
      <c r="F11" s="137" t="str">
        <f>"規定された金額" &amp; LEFT("     ",8-LEN(TEXT(要件!K18,"###,##0"))) &amp; TEXT(要件!K18,"###,##0 円")</f>
        <v>規定された金額 143,000 円</v>
      </c>
      <c r="I11" s="150"/>
    </row>
    <row r="12" spans="1:9" x14ac:dyDescent="0.4">
      <c r="C12" s="137" t="s">
        <v>144</v>
      </c>
      <c r="F12" s="137" t="str">
        <f>"規定された金額" &amp; LEFT("     ",8-LEN(TEXT(要件!K20+(要件!K7-30)*要件!K21-要件!K22,"###,##0"))) &amp; TEXT(要件!K20+(要件!K7-30)*要件!K21-要件!K22,"###,##0 円") &amp; "（オンライン出願、国際出願に含まれる用紙の枚数 " &amp; 要件!K7 &amp; "枚）"</f>
        <v>規定された金額 217,500 円（オンライン出願、国際出願に含まれる用紙の枚数 45枚）</v>
      </c>
      <c r="I12" s="156"/>
    </row>
    <row r="13" spans="1:9" x14ac:dyDescent="0.4">
      <c r="C13" s="137" t="s">
        <v>145</v>
      </c>
      <c r="H13" s="137" t="str">
        <f>LEFT("     ",7-LEN(TEXT(要件!K20,"###,##0"))) &amp; TEXT(要件!K20,"###,##0 円")</f>
        <v>230,500 円</v>
      </c>
    </row>
    <row r="14" spans="1:9" x14ac:dyDescent="0.4">
      <c r="C14" s="137" t="s">
        <v>146</v>
      </c>
      <c r="H14" s="137" t="str">
        <f>LEFT("     ",7-LEN(TEXT(要件!K21,"###,##0"))) &amp; TEXT(要件!K21,"###,##0 円")</f>
        <v xml:space="preserve">  2,600 円</v>
      </c>
    </row>
    <row r="15" spans="1:9" ht="14.25" customHeight="1" x14ac:dyDescent="0.4">
      <c r="C15" s="137" t="s">
        <v>147</v>
      </c>
      <c r="H15" s="137" t="str">
        <f>LEFT("     ",7-LEN(TEXT(要件!K22,"###,##0"))) &amp; TEXT(要件!K22,"###,##0 円")</f>
        <v xml:space="preserve"> 52,000 円</v>
      </c>
    </row>
    <row r="16" spans="1:9" ht="14.25" customHeight="1" x14ac:dyDescent="0.4"/>
    <row r="17" spans="3:16" x14ac:dyDescent="0.4">
      <c r="C17" s="137" t="s">
        <v>148</v>
      </c>
    </row>
    <row r="18" spans="3:16" ht="14.25" x14ac:dyDescent="0.4">
      <c r="D18" s="153" t="str">
        <f>TEXT(要件!K17,"###,##0") &amp; " × " &amp; TEXT(要件!L6,"??/??") &amp; " ＝ " &amp; TEXT(要件!K17*要件!L6,"###,##0.000") &amp; "…"</f>
        <v>17,000 ×  1/3  ＝ 5,666.667…</v>
      </c>
      <c r="E18" s="147"/>
      <c r="F18" s="149"/>
      <c r="G18" s="147"/>
      <c r="H18" s="157"/>
      <c r="I18" s="162" t="str">
        <f>"→ " &amp; TEXT(ROUNDDOWN(要件!K17*要件!L6,-1),"###,##0 円")</f>
        <v>→ 5,660 円</v>
      </c>
      <c r="J18" s="148"/>
      <c r="K18" s="152"/>
      <c r="L18" s="139"/>
    </row>
    <row r="19" spans="3:16" x14ac:dyDescent="0.4">
      <c r="D19" s="137" t="s">
        <v>149</v>
      </c>
    </row>
    <row r="20" spans="3:16" x14ac:dyDescent="0.4">
      <c r="C20" s="137" t="s">
        <v>150</v>
      </c>
    </row>
    <row r="21" spans="3:16" ht="14.25" x14ac:dyDescent="0.4">
      <c r="D21" s="153" t="str">
        <f>TEXT(要件!K18,"###,##0") &amp; " × " &amp; TEXT(要件!L6,"??/??") &amp; " ＝ " &amp; TEXT(要件!K18*要件!L6,"###,##0.000") &amp; "…"</f>
        <v>143,000 ×  1/3  ＝ 47,666.667…</v>
      </c>
      <c r="E21" s="147"/>
      <c r="F21" s="149"/>
      <c r="G21" s="147"/>
      <c r="H21" s="157"/>
      <c r="I21" s="162" t="str">
        <f>"→ " &amp; TEXT(ROUNDDOWN(要件!K18*要件!L6,-1),"###,##0 円")</f>
        <v>→ 47,660 円</v>
      </c>
      <c r="J21" s="148"/>
      <c r="K21" s="154"/>
      <c r="L21" s="139"/>
    </row>
    <row r="22" spans="3:16" x14ac:dyDescent="0.4">
      <c r="D22" s="137" t="s">
        <v>149</v>
      </c>
    </row>
    <row r="23" spans="3:16" x14ac:dyDescent="0.4">
      <c r="C23" s="137" t="s">
        <v>151</v>
      </c>
      <c r="P23" s="153"/>
    </row>
    <row r="24" spans="3:16" x14ac:dyDescent="0.4">
      <c r="D24" s="137" t="s">
        <v>152</v>
      </c>
    </row>
    <row r="25" spans="3:16" ht="14.25" x14ac:dyDescent="0.4">
      <c r="D25" s="181" t="str">
        <f>TEXT(要件!K20,"###,##0") &amp; " × " &amp; TEXT(要件!L6,"??/??") &amp; " ＝ " &amp; TEXT(要件!K20*要件!L6,"###,##0.000") &amp; "…"</f>
        <v>230,500 ×  1/3  ＝ 76,833.333…</v>
      </c>
      <c r="E25" s="147"/>
      <c r="F25" s="149"/>
      <c r="G25" s="147"/>
      <c r="H25" s="153"/>
      <c r="I25" s="161" t="str">
        <f>"→ " &amp; TEXT(ROUNDDOWN(要件!K20*要件!L6,-1),"###,##0 円")</f>
        <v>→ 76,830 円</v>
      </c>
      <c r="J25" s="148"/>
      <c r="K25" s="153"/>
    </row>
    <row r="26" spans="3:16" x14ac:dyDescent="0.4">
      <c r="D26" s="137" t="s">
        <v>149</v>
      </c>
    </row>
    <row r="27" spans="3:16" x14ac:dyDescent="0.4">
      <c r="D27" s="137" t="s">
        <v>153</v>
      </c>
    </row>
    <row r="28" spans="3:16" ht="14.25" x14ac:dyDescent="0.4">
      <c r="D28" s="153" t="str">
        <f>TEXT(要件!K21,"###,##0") &amp; " × " &amp; TEXT(要件!L6,"??/??") &amp; " ＝ " &amp; TEXT(要件!K21*要件!L6,"###,##0.000") &amp; "…"</f>
        <v>2,600 ×  1/3  ＝ 866.667…</v>
      </c>
      <c r="E28" s="147"/>
      <c r="F28" s="149"/>
      <c r="G28" s="147"/>
      <c r="H28" s="153"/>
      <c r="I28" s="161" t="str">
        <f>"→ " &amp; TEXT(ROUNDDOWN(要件!K21*要件!L6,-1),"###,##0 円")</f>
        <v>→ 860 円</v>
      </c>
      <c r="J28" s="148"/>
      <c r="K28" s="154"/>
    </row>
    <row r="29" spans="3:16" x14ac:dyDescent="0.4">
      <c r="D29" s="137" t="s">
        <v>149</v>
      </c>
    </row>
    <row r="30" spans="3:16" x14ac:dyDescent="0.4">
      <c r="D30" s="137" t="s">
        <v>154</v>
      </c>
    </row>
    <row r="31" spans="3:16" ht="14.25" x14ac:dyDescent="0.4">
      <c r="D31" s="153" t="str">
        <f>TEXT(要件!K22,"###,##0") &amp; " × " &amp; TEXT(要件!L6,"??/??") &amp; " ＝ " &amp; TEXT(要件!K22*要件!L6,"###,##0.000") &amp; "…"</f>
        <v>52,000 ×  1/3  ＝ 17,333.333…</v>
      </c>
      <c r="E31" s="147"/>
      <c r="F31" s="149"/>
      <c r="G31" s="147"/>
      <c r="H31" s="153"/>
      <c r="I31" s="161" t="str">
        <f>"→ " &amp; TEXT(ROUNDDOWN(要件!K22*要件!L6,-1),"###,##0 円")</f>
        <v>→ 17,330 円</v>
      </c>
      <c r="J31" s="148"/>
      <c r="K31" s="154"/>
    </row>
    <row r="32" spans="3:16" x14ac:dyDescent="0.4">
      <c r="D32" s="137" t="s">
        <v>149</v>
      </c>
    </row>
    <row r="33" spans="1:19" x14ac:dyDescent="0.4">
      <c r="D33" s="137" t="s">
        <v>155</v>
      </c>
    </row>
    <row r="34" spans="1:19" ht="14.25" x14ac:dyDescent="0.4">
      <c r="D34" s="153" t="str">
        <f>TEXT(ROUNDDOWN(要件!K20*要件!L6,-1),"###,##0") &amp; " ＋ (" &amp; 要件!K7 &amp; "枚 － 30枚) × " &amp; TEXT(ROUNDDOWN(要件!K21*要件!L6,-1),"###,##0") &amp; " － " &amp; TEXT(ROUNDDOWN(要件!K22*要件!L6,-1),"###,##0")&amp; " ＝"</f>
        <v>76,830 ＋ (45枚 － 30枚) × 860 － 17,330 ＝</v>
      </c>
      <c r="E34" s="147"/>
      <c r="F34" s="149"/>
      <c r="I34" s="147"/>
      <c r="K34" s="139" t="str">
        <f>TEXT(ROUNDDOWN(要件!K20*要件!L6,-1)+(要件!K7-30)*ROUNDDOWN(要件!K21*要件!L6,-1)-ROUNDDOWN(要件!K22*要件!L6,-1),"###,##0 円")</f>
        <v>72,400 円</v>
      </c>
      <c r="M34" s="147"/>
      <c r="N34" s="153"/>
      <c r="O34" s="147"/>
      <c r="P34" s="153"/>
      <c r="Q34" s="147"/>
      <c r="R34" s="155"/>
      <c r="S34" s="139"/>
    </row>
    <row r="38" spans="1:19" ht="21" x14ac:dyDescent="0.4">
      <c r="A38" s="140" t="s">
        <v>159</v>
      </c>
      <c r="B38" s="138" t="s">
        <v>156</v>
      </c>
    </row>
    <row r="39" spans="1:19" x14ac:dyDescent="0.4">
      <c r="B39" s="137" t="s">
        <v>157</v>
      </c>
    </row>
    <row r="40" spans="1:19" x14ac:dyDescent="0.4">
      <c r="B40" s="137" t="s">
        <v>158</v>
      </c>
    </row>
    <row r="41" spans="1:19" x14ac:dyDescent="0.4">
      <c r="B41" s="137" t="s">
        <v>140</v>
      </c>
    </row>
    <row r="42" spans="1:19" x14ac:dyDescent="0.4">
      <c r="B42" s="137" t="s">
        <v>141</v>
      </c>
    </row>
    <row r="44" spans="1:19" x14ac:dyDescent="0.4">
      <c r="B44" s="137" t="str">
        <f>"出願人A（"&amp; MID(要件!K11,5,50) &amp; ", 手数料の負担割合" &amp;TEXT(要件!L11,"?/?")&amp;", 持分" &amp; TEXT(要件!M11,"?/?") &amp; "）と出願人B（"&amp; MID(要件!K12,5,50) &amp; ", 手数料の負担割合" &amp;TEXT(要件!L12,"?/?")&amp;", 持分" &amp; TEXT(要件!M12,"?/?") &amp; "）の共同出願"</f>
        <v>出願人A（中小スタートアップ企業, 手数料の負担割合1/3, 持分1/2）と出願人B（大学・試験研究機関等, 手数料の負担割合1/2, 持分1/2）の共同出願</v>
      </c>
    </row>
    <row r="45" spans="1:19" x14ac:dyDescent="0.4">
      <c r="C45" s="137" t="str">
        <f>"＜例："&amp;TEXT(要件!K3,"yyyy年m月d日")&amp;"に受理された国際出願の場合＞"</f>
        <v>＜例：2025年1月1日に受理された国際出願の場合＞</v>
      </c>
    </row>
    <row r="46" spans="1:19" x14ac:dyDescent="0.4">
      <c r="C46" s="137" t="s">
        <v>142</v>
      </c>
      <c r="F46" s="137" t="str">
        <f>"規定された金額" &amp; LEFT("     ",8-LEN(TEXT(要件!K17,"###,##0"))) &amp; TEXT(要件!K17,"###,##0 円")</f>
        <v>規定された金額  17,000 円</v>
      </c>
      <c r="I46" s="146"/>
    </row>
    <row r="47" spans="1:19" x14ac:dyDescent="0.4">
      <c r="C47" s="137" t="s">
        <v>143</v>
      </c>
      <c r="F47" s="137" t="str">
        <f>"規定された金額" &amp; LEFT("     ",8-LEN(TEXT(要件!K18,"###,##0"))) &amp; TEXT(要件!K18,"###,##0 円")</f>
        <v>規定された金額 143,000 円</v>
      </c>
      <c r="I47" s="150"/>
    </row>
    <row r="48" spans="1:19" x14ac:dyDescent="0.4">
      <c r="C48" s="137" t="s">
        <v>144</v>
      </c>
      <c r="F48" s="137" t="str">
        <f>"規定された金額" &amp; LEFT("     ",8-LEN(TEXT(要件!K20+(要件!K7-30)*要件!K21-要件!K22,"###,##0"))) &amp; TEXT(要件!K20+(要件!K13-30)*要件!K21-要件!K22,"###,##0 円") &amp; "（オンライン出願、国際出願に含まれる用紙の枚数 " &amp; 要件!K13 &amp; "枚）"</f>
        <v>規定された金額 217,500 円（オンライン出願、国際出願に含まれる用紙の枚数 45枚）</v>
      </c>
      <c r="I48" s="156"/>
    </row>
    <row r="49" spans="3:19" x14ac:dyDescent="0.4">
      <c r="C49" s="137" t="s">
        <v>145</v>
      </c>
      <c r="H49" s="146" t="str">
        <f>LEFT("     ",7-LEN(TEXT(要件!K20,"###,##0"))) &amp; TEXT(要件!K20,"###,##0 円")</f>
        <v>230,500 円</v>
      </c>
    </row>
    <row r="50" spans="3:19" x14ac:dyDescent="0.4">
      <c r="C50" s="137" t="s">
        <v>146</v>
      </c>
      <c r="H50" s="146" t="str">
        <f>LEFT("     ",7-LEN(TEXT(要件!K21,"###,##0"))) &amp; TEXT(要件!K21,"###,##0 円")</f>
        <v xml:space="preserve">  2,600 円</v>
      </c>
    </row>
    <row r="51" spans="3:19" x14ac:dyDescent="0.4">
      <c r="C51" s="137" t="s">
        <v>147</v>
      </c>
      <c r="H51" s="146" t="str">
        <f>LEFT("     ",7-LEN(TEXT(要件!K22,"###,##0"))) &amp; TEXT(要件!K22,"###,##0 円")</f>
        <v xml:space="preserve"> 52,000 円</v>
      </c>
    </row>
    <row r="53" spans="3:19" x14ac:dyDescent="0.4">
      <c r="C53" s="137" t="s">
        <v>148</v>
      </c>
    </row>
    <row r="54" spans="3:19" x14ac:dyDescent="0.4">
      <c r="D54" s="137" t="str">
        <f>"出願人A (" &amp; TEXT(要件!K17,"###,##0") &amp; " × " &amp; TEXT(要件!L11,"?/?") &amp; " × " &amp; TEXT(要件!M11,"?/?") &amp; ") ＋ 出願人B (" &amp; TEXT(要件!K17,"###,##0") &amp; " × " &amp; TEXT(要件!L12,"?/?") &amp; " × " &amp; TEXT(要件!M12,"?/?")&amp; ")"</f>
        <v>出願人A (17,000 × 1/3 × 1/2) ＋ 出願人B (17,000 × 1/2 × 1/2)</v>
      </c>
      <c r="E54" s="149"/>
      <c r="F54" s="159"/>
      <c r="G54" s="147"/>
      <c r="H54" s="151"/>
      <c r="I54" s="147"/>
      <c r="J54" s="151"/>
      <c r="L54" s="147"/>
      <c r="M54" s="158"/>
      <c r="N54" s="149"/>
      <c r="O54" s="159"/>
      <c r="P54" s="147"/>
      <c r="Q54" s="151"/>
      <c r="R54" s="147"/>
      <c r="S54" s="151"/>
    </row>
    <row r="55" spans="3:19" x14ac:dyDescent="0.4">
      <c r="D55" s="161" t="str">
        <f>"＝ 出願人A (" &amp; TEXT(要件!K17,"###,##0") &amp; " × " &amp; TRIM(TEXT(要件!L11* 要件!M11,"?/??")) &amp; ") ＋ 出願人B (" &amp; TEXT(要件!K17,"###,##0") &amp; " × " &amp; TRIM(TEXT(要件!L12* 要件!M12,"?/??")) &amp; ")"</f>
        <v>＝ 出願人A (17,000 × 1/6) ＋ 出願人B (17,000 × 1/4)</v>
      </c>
      <c r="E55" s="158"/>
      <c r="F55" s="149"/>
      <c r="G55" s="159"/>
      <c r="H55" s="147"/>
      <c r="I55" s="151"/>
      <c r="K55" s="147"/>
      <c r="L55" s="158"/>
      <c r="M55" s="149"/>
      <c r="N55" s="159"/>
      <c r="O55" s="147"/>
      <c r="P55" s="151"/>
      <c r="R55" s="151"/>
    </row>
    <row r="56" spans="3:19" x14ac:dyDescent="0.4">
      <c r="D56" s="161" t="str">
        <f>"＝ 出願人A (" &amp; TEXT(要件!K17,"###,##0") &amp; " × " &amp; TRIM(TEXT(要件!L11* 要件!M11+ 要件!L12* 要件!M12,"?/??")) &amp; ")"</f>
        <v>＝ 出願人A (17,000 × 5/12)</v>
      </c>
      <c r="E56" s="159"/>
      <c r="F56" s="147"/>
      <c r="G56" s="151"/>
    </row>
    <row r="57" spans="3:19" ht="14.25" x14ac:dyDescent="0.4">
      <c r="D57" s="161" t="str">
        <f>"＝ " &amp; TEXT(要件!K17*(要件!L11* 要件!M11+ 要件!L12* 要件!M12),"###,##0.000") &amp; "…"</f>
        <v>＝ 7,083.333…</v>
      </c>
      <c r="E57" s="159"/>
      <c r="F57" s="147"/>
      <c r="G57" s="162" t="str">
        <f>"→ " &amp; TEXT(ROUNDDOWN(要件!K17*(要件!L11* 要件!M11+ 要件!L12* 要件!M12),-1),"###,##0 円")</f>
        <v>→ 7,080 円</v>
      </c>
      <c r="H57" s="160"/>
      <c r="I57" s="139"/>
    </row>
    <row r="58" spans="3:19" x14ac:dyDescent="0.4">
      <c r="D58" s="137" t="s">
        <v>149</v>
      </c>
    </row>
    <row r="59" spans="3:19" x14ac:dyDescent="0.4">
      <c r="C59" s="137" t="s">
        <v>150</v>
      </c>
    </row>
    <row r="60" spans="3:19" x14ac:dyDescent="0.4">
      <c r="D60" s="137" t="str">
        <f>"出願人A (" &amp; TEXT(要件!K18,"###,##0") &amp; " × " &amp; TEXT(要件!L11,"?/?") &amp; " × " &amp; TEXT(要件!M11,"?/?") &amp; ") ＋ 出願人B (" &amp; TEXT(要件!K18,"###,##0") &amp; " × " &amp; TEXT(要件!L12,"?/?") &amp; " × " &amp; TEXT(要件!M12,"?/?")&amp; ")"</f>
        <v>出願人A (143,000 × 1/3 × 1/2) ＋ 出願人B (143,000 × 1/2 × 1/2)</v>
      </c>
      <c r="E60" s="149"/>
      <c r="F60" s="159"/>
      <c r="G60" s="147"/>
      <c r="H60" s="151"/>
      <c r="I60" s="147"/>
      <c r="J60" s="151"/>
      <c r="L60" s="147"/>
      <c r="M60" s="158"/>
      <c r="N60" s="149"/>
      <c r="O60" s="159"/>
      <c r="P60" s="147"/>
      <c r="Q60" s="151"/>
      <c r="R60" s="147"/>
      <c r="S60" s="151"/>
    </row>
    <row r="61" spans="3:19" x14ac:dyDescent="0.4">
      <c r="D61" s="161" t="str">
        <f>"＝ 出願人A (" &amp; TEXT(要件!K18,"###,##0") &amp; " × " &amp; TRIM(TEXT(要件!L11* 要件!M11,"?/??")) &amp; ") ＋ 出願人B (" &amp; TEXT(要件!K18,"###,##0") &amp; " × " &amp; TRIM(TEXT(要件!L12* 要件!M12,"?/??")) &amp; ")"</f>
        <v>＝ 出願人A (143,000 × 1/6) ＋ 出願人B (143,000 × 1/4)</v>
      </c>
      <c r="E61" s="158"/>
      <c r="F61" s="149"/>
      <c r="G61" s="159"/>
      <c r="H61" s="147"/>
      <c r="I61" s="151"/>
      <c r="K61" s="147"/>
      <c r="L61" s="158"/>
      <c r="M61" s="149"/>
      <c r="N61" s="159"/>
      <c r="O61" s="147"/>
      <c r="P61" s="151"/>
      <c r="R61" s="151"/>
    </row>
    <row r="62" spans="3:19" x14ac:dyDescent="0.4">
      <c r="D62" s="161" t="str">
        <f>"＝ 出願人A (" &amp; TEXT(要件!K18,"###,##0") &amp; " × " &amp; TRIM(TEXT(要件!L11* 要件!M11+ 要件!L12* 要件!M12,"?/??")) &amp; ")"</f>
        <v>＝ 出願人A (143,000 × 5/12)</v>
      </c>
      <c r="E62" s="159"/>
      <c r="F62" s="147"/>
      <c r="G62" s="151"/>
    </row>
    <row r="63" spans="3:19" ht="14.25" x14ac:dyDescent="0.4">
      <c r="D63" s="161" t="str">
        <f>"＝ " &amp; TEXT(要件!K18*(要件!L11* 要件!M11+ 要件!L12* 要件!M12),"###,##0.000") &amp; "…"</f>
        <v>＝ 59,583.333…</v>
      </c>
      <c r="E63" s="159"/>
      <c r="F63" s="147"/>
      <c r="G63" s="162" t="str">
        <f>"→ " &amp; TEXT(ROUNDDOWN(要件!K18*(要件!L11* 要件!M11+ 要件!L12* 要件!M12),-1),"###,##0 円")</f>
        <v>→ 59,580 円</v>
      </c>
      <c r="H63" s="160"/>
      <c r="I63" s="139"/>
    </row>
    <row r="64" spans="3:19" x14ac:dyDescent="0.4">
      <c r="D64" s="137" t="s">
        <v>149</v>
      </c>
    </row>
    <row r="65" spans="3:19" x14ac:dyDescent="0.4">
      <c r="C65" s="137" t="s">
        <v>151</v>
      </c>
    </row>
    <row r="66" spans="3:19" x14ac:dyDescent="0.4">
      <c r="D66" s="137" t="s">
        <v>152</v>
      </c>
    </row>
    <row r="67" spans="3:19" x14ac:dyDescent="0.4">
      <c r="D67" s="137" t="str">
        <f>"出願人A (" &amp; TEXT(要件!K20,"###,##0") &amp; " × " &amp; TEXT(要件!L11,"?/?") &amp; " × " &amp; TEXT(要件!M11,"?/?") &amp; ") ＋ 出願人B (" &amp; TEXT(要件!K20,"###,##0") &amp; " × " &amp; TEXT(要件!L12,"?/?") &amp; " × " &amp; TEXT(要件!M12,"?/?")&amp; ")"</f>
        <v>出願人A (230,500 × 1/3 × 1/2) ＋ 出願人B (230,500 × 1/2 × 1/2)</v>
      </c>
      <c r="E67" s="149"/>
      <c r="F67" s="159"/>
      <c r="G67" s="147"/>
      <c r="H67" s="151"/>
      <c r="I67" s="147"/>
      <c r="J67" s="151"/>
      <c r="L67" s="147"/>
      <c r="M67" s="158"/>
      <c r="N67" s="149"/>
      <c r="O67" s="159"/>
      <c r="P67" s="147"/>
      <c r="Q67" s="151"/>
      <c r="R67" s="147"/>
      <c r="S67" s="151"/>
    </row>
    <row r="68" spans="3:19" x14ac:dyDescent="0.4">
      <c r="D68" s="161" t="str">
        <f>"＝ 出願人A (" &amp; TEXT(要件!K20,"###,##0") &amp; " × " &amp; TRIM(TEXT(要件!L11* 要件!M11,"?/??")) &amp; ") ＋ 出願人B (" &amp; TEXT(要件!K20,"###,##0") &amp; " × " &amp; TRIM(TEXT(要件!L12* 要件!M12,"?/??")) &amp; ")"</f>
        <v>＝ 出願人A (230,500 × 1/6) ＋ 出願人B (230,500 × 1/4)</v>
      </c>
      <c r="E68" s="158"/>
      <c r="F68" s="149"/>
      <c r="G68" s="159"/>
      <c r="H68" s="147"/>
      <c r="I68" s="151"/>
      <c r="K68" s="147"/>
      <c r="L68" s="158"/>
      <c r="M68" s="149"/>
      <c r="N68" s="159"/>
      <c r="O68" s="147"/>
      <c r="P68" s="151"/>
      <c r="R68" s="151"/>
    </row>
    <row r="69" spans="3:19" x14ac:dyDescent="0.4">
      <c r="D69" s="161" t="str">
        <f>"＝ 出願人A (" &amp; TEXT(要件!K20,"###,##0") &amp; " × " &amp; TRIM(TEXT(要件!L11* 要件!M11+ 要件!L12* 要件!M12,"?/??")) &amp; ")"</f>
        <v>＝ 出願人A (230,500 × 5/12)</v>
      </c>
      <c r="E69" s="159"/>
      <c r="F69" s="147"/>
      <c r="G69" s="151"/>
    </row>
    <row r="70" spans="3:19" ht="14.25" x14ac:dyDescent="0.4">
      <c r="D70" s="161" t="str">
        <f>"＝ " &amp; TEXT(要件!K20*(要件!L11* 要件!M11+ 要件!L12* 要件!M12),"###,##0.000") &amp; "…"</f>
        <v>＝ 96,041.667…</v>
      </c>
      <c r="E70" s="159"/>
      <c r="F70" s="147"/>
      <c r="G70" s="161" t="str">
        <f>"→ " &amp; TEXT(ROUNDDOWN(要件!K20*(要件!L11* 要件!M11+ 要件!L12* 要件!M12),-1),"###,##0 円")</f>
        <v>→ 96,040 円</v>
      </c>
      <c r="H70" s="160"/>
      <c r="I70" s="139"/>
    </row>
    <row r="71" spans="3:19" x14ac:dyDescent="0.4">
      <c r="D71" s="137" t="s">
        <v>149</v>
      </c>
    </row>
    <row r="72" spans="3:19" x14ac:dyDescent="0.4">
      <c r="D72" s="137" t="s">
        <v>153</v>
      </c>
    </row>
    <row r="73" spans="3:19" x14ac:dyDescent="0.4">
      <c r="D73" s="137" t="str">
        <f>"出願人A (" &amp; TEXT(要件!K21,"###,##0") &amp; " × " &amp; TEXT(要件!L11,"?/?") &amp; " × " &amp; TEXT(要件!M11,"?/?") &amp; ") ＋ 出願人B (" &amp; TEXT(要件!K21,"###,##0") &amp; " × " &amp; TEXT(要件!L12,"?/?") &amp; " × " &amp; TEXT(要件!M12,"?/?")&amp; ")"</f>
        <v>出願人A (2,600 × 1/3 × 1/2) ＋ 出願人B (2,600 × 1/2 × 1/2)</v>
      </c>
      <c r="E73" s="149"/>
      <c r="F73" s="159"/>
      <c r="G73" s="147"/>
      <c r="H73" s="151"/>
      <c r="I73" s="147"/>
      <c r="J73" s="151"/>
      <c r="L73" s="147"/>
      <c r="M73" s="158"/>
      <c r="N73" s="149"/>
      <c r="O73" s="159"/>
      <c r="P73" s="147"/>
      <c r="Q73" s="151"/>
      <c r="R73" s="147"/>
      <c r="S73" s="151"/>
    </row>
    <row r="74" spans="3:19" x14ac:dyDescent="0.4">
      <c r="D74" s="161" t="str">
        <f>"＝ 出願人A (" &amp; TEXT(要件!K21,"###,##0") &amp; " × " &amp; TRIM(TEXT(要件!L11* 要件!M11,"?/??")) &amp; ") ＋ 出願人B (" &amp; TRIM(TEXT(要件!K21,"###,##0") &amp; " × " &amp; TEXT(要件!L12* 要件!M12,"?/??")) &amp; ")"</f>
        <v>＝ 出願人A (2,600 × 1/6) ＋ 出願人B (2,600 × 1/4)</v>
      </c>
      <c r="E74" s="158"/>
      <c r="F74" s="149"/>
      <c r="G74" s="159"/>
      <c r="H74" s="147"/>
      <c r="I74" s="151"/>
      <c r="K74" s="147"/>
      <c r="L74" s="158"/>
      <c r="M74" s="149"/>
      <c r="N74" s="159"/>
      <c r="O74" s="147"/>
      <c r="P74" s="151"/>
      <c r="R74" s="151"/>
    </row>
    <row r="75" spans="3:19" x14ac:dyDescent="0.4">
      <c r="D75" s="161" t="str">
        <f>"＝ 出願人A (" &amp; TEXT(要件!K21,"###,##0") &amp; " × " &amp; TRIM(TEXT(要件!L11* 要件!M11+ 要件!L12* 要件!M12,"?/??")) &amp; ")"</f>
        <v>＝ 出願人A (2,600 × 5/12)</v>
      </c>
      <c r="E75" s="159"/>
      <c r="F75" s="147"/>
      <c r="G75" s="151"/>
    </row>
    <row r="76" spans="3:19" ht="14.25" x14ac:dyDescent="0.4">
      <c r="D76" s="161" t="str">
        <f>"＝ " &amp; TEXT(要件!K21*(要件!L11* 要件!M11+ 要件!L12* 要件!M12),"###,##0.000") &amp; "…"</f>
        <v>＝ 1,083.333…</v>
      </c>
      <c r="E76" s="159"/>
      <c r="F76" s="147"/>
      <c r="G76" s="161" t="str">
        <f>"→ " &amp; TEXT(ROUNDDOWN(要件!K21*(要件!L11* 要件!M11+ 要件!L12* 要件!M12),-1),"###,##0 円")</f>
        <v>→ 1,080 円</v>
      </c>
      <c r="H76" s="160"/>
      <c r="I76" s="139"/>
    </row>
    <row r="77" spans="3:19" x14ac:dyDescent="0.4">
      <c r="D77" s="137" t="s">
        <v>149</v>
      </c>
    </row>
    <row r="78" spans="3:19" x14ac:dyDescent="0.4">
      <c r="D78" s="137" t="s">
        <v>154</v>
      </c>
    </row>
    <row r="79" spans="3:19" x14ac:dyDescent="0.4">
      <c r="D79" s="137" t="str">
        <f>"出願人A (" &amp; TEXT(要件!K22,"###,##0") &amp; " × " &amp; TEXT(要件!L11,"?/?") &amp; " × " &amp; TEXT(要件!M11,"?/?") &amp; ") ＋ 出願人B (" &amp; TEXT(要件!K22,"###,##0") &amp; " × " &amp; TEXT(要件!L12,"?/?") &amp; " × " &amp; TEXT(要件!M12,"?/?")&amp; ")"</f>
        <v>出願人A (52,000 × 1/3 × 1/2) ＋ 出願人B (52,000 × 1/2 × 1/2)</v>
      </c>
      <c r="E79" s="149"/>
      <c r="F79" s="159"/>
      <c r="G79" s="147"/>
      <c r="H79" s="151"/>
      <c r="I79" s="147"/>
      <c r="J79" s="151"/>
      <c r="L79" s="147"/>
      <c r="M79" s="158"/>
      <c r="N79" s="149"/>
      <c r="O79" s="159"/>
      <c r="P79" s="147"/>
      <c r="Q79" s="151"/>
      <c r="R79" s="147"/>
      <c r="S79" s="151"/>
    </row>
    <row r="80" spans="3:19" x14ac:dyDescent="0.4">
      <c r="D80" s="161" t="str">
        <f>"＝ 出願人A (" &amp; TEXT(要件!K22,"###,##0") &amp; " × " &amp; TRIM(TEXT(要件!L11* 要件!M11,"?/??"))&amp; ") ＋ 出願人B (" &amp; TRIM(TEXT(要件!K22,"###,##0") &amp; " × " &amp; TEXT(要件!L12* 要件!M12,"?/??")) &amp; ")"</f>
        <v>＝ 出願人A (52,000 × 1/6) ＋ 出願人B (52,000 × 1/4)</v>
      </c>
      <c r="E80" s="158"/>
      <c r="F80" s="149"/>
      <c r="G80" s="159"/>
      <c r="H80" s="147"/>
      <c r="I80" s="151"/>
      <c r="K80" s="147"/>
      <c r="L80" s="158"/>
      <c r="M80" s="149"/>
      <c r="N80" s="159"/>
      <c r="O80" s="147"/>
      <c r="P80" s="151"/>
      <c r="R80" s="151"/>
    </row>
    <row r="81" spans="4:19" x14ac:dyDescent="0.4">
      <c r="D81" s="161" t="str">
        <f>"＝ 出願人A (" &amp; TEXT(要件!K22,"###,##0") &amp; " × " &amp; TRIM(TEXT(要件!L11* 要件!M11+ 要件!L12* 要件!M12,"?/??")) &amp; ")"</f>
        <v>＝ 出願人A (52,000 × 5/12)</v>
      </c>
      <c r="E81" s="159"/>
      <c r="F81" s="147"/>
      <c r="G81" s="151"/>
    </row>
    <row r="82" spans="4:19" ht="14.25" x14ac:dyDescent="0.4">
      <c r="D82" s="161" t="str">
        <f>"＝ " &amp; TEXT(要件!K22*(要件!L11* 要件!M11+ 要件!L12* 要件!M12),"###,##0.000") &amp; "…"</f>
        <v>＝ 21,666.667…</v>
      </c>
      <c r="E82" s="159"/>
      <c r="F82" s="147"/>
      <c r="G82" s="161" t="str">
        <f>"→ " &amp; TEXT(ROUNDDOWN(要件!K22*(要件!L11* 要件!M11+ 要件!L12* 要件!M12),-1),"###,##0 円")</f>
        <v>→ 21,660 円</v>
      </c>
      <c r="H82" s="160"/>
      <c r="I82" s="139"/>
    </row>
    <row r="83" spans="4:19" x14ac:dyDescent="0.4">
      <c r="D83" s="137" t="s">
        <v>149</v>
      </c>
    </row>
    <row r="84" spans="4:19" x14ac:dyDescent="0.4">
      <c r="D84" s="137" t="s">
        <v>155</v>
      </c>
    </row>
    <row r="85" spans="4:19" ht="14.25" x14ac:dyDescent="0.4">
      <c r="D85" s="153" t="str">
        <f>TEXT(ROUNDDOWN(要件!K20*(要件!L11* 要件!M11+ 要件!L12* 要件!M12),-1),"###,##0") &amp; " ＋ (" &amp; 要件!K13 &amp; "枚 － 30枚) × " &amp; TEXT(ROUNDDOWN(要件!K21*(要件!L11* 要件!M11+ 要件!L12* 要件!M12),-1),"###,##0") &amp; " － " &amp; TEXT(ROUNDDOWN(要件!K22*(要件!L11* 要件!M11+ 要件!L12* 要件!M12),-1),"###,##0") &amp; " ＝"</f>
        <v>96,040 ＋ (45枚 － 30枚) × 1,080 － 21,660 ＝</v>
      </c>
      <c r="E85" s="147"/>
      <c r="F85" s="149"/>
      <c r="I85" s="147"/>
      <c r="K85" s="139" t="str">
        <f>TEXT(ROUNDDOWN(要件!K20*(要件!L11* 要件!M11+ 要件!L12* 要件!M12),-1)+(要件!K13-30)*ROUNDDOWN(要件!K21*(要件!L11* 要件!M11+ 要件!L12* 要件!M12),-1)-ROUNDDOWN(要件!K22*(要件!L11* 要件!M11+ 要件!L12* 要件!M12),-1),"###,##0 円")</f>
        <v>90,580 円</v>
      </c>
      <c r="M85" s="147"/>
      <c r="N85" s="153"/>
      <c r="O85" s="147"/>
      <c r="P85" s="153"/>
      <c r="Q85" s="147"/>
      <c r="R85" s="155"/>
      <c r="S85" s="139"/>
    </row>
  </sheetData>
  <sheetProtection algorithmName="SHA-512" hashValue="k4G8XmXkbe+ohXyNz8bu7UhCC423j76HcCDNFfHt8vXWAs6pSkJKK7xk1X0HE8FpOIWcrxr+svpN5erkNXUvcw==" saltValue="K4xnIVDRHC7Tzt3Xt0Iycw==" spinCount="100000" sheet="1" objects="1" scenarios="1"/>
  <phoneticPr fontId="1"/>
  <pageMargins left="0.56999999999999995" right="0.2" top="0.74803149606299213" bottom="0.74803149606299213" header="0.31496062992125984" footer="0.31496062992125984"/>
  <pageSetup paperSize="9" scale="60"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2:N25"/>
  <sheetViews>
    <sheetView zoomScaleNormal="100" workbookViewId="0"/>
  </sheetViews>
  <sheetFormatPr defaultRowHeight="18.75" x14ac:dyDescent="0.4"/>
  <cols>
    <col min="1" max="1" width="13" style="17" customWidth="1"/>
    <col min="2" max="10" width="12.25" style="18" customWidth="1"/>
    <col min="11" max="11" width="12.25" style="16" customWidth="1"/>
    <col min="12" max="14" width="9" style="16"/>
  </cols>
  <sheetData>
    <row r="2" spans="1:11" x14ac:dyDescent="0.4">
      <c r="A2" s="22" t="s">
        <v>51</v>
      </c>
      <c r="B2" s="32">
        <f>MAX(A5:A19)</f>
        <v>45931</v>
      </c>
    </row>
    <row r="4" spans="1:11" ht="63" customHeight="1" x14ac:dyDescent="0.4">
      <c r="A4" s="19" t="s">
        <v>27</v>
      </c>
      <c r="B4" s="20" t="s">
        <v>21</v>
      </c>
      <c r="C4" s="24" t="s">
        <v>96</v>
      </c>
      <c r="D4" s="24" t="s">
        <v>97</v>
      </c>
      <c r="E4" s="24" t="s">
        <v>98</v>
      </c>
      <c r="F4" s="79" t="s">
        <v>100</v>
      </c>
      <c r="G4" s="79" t="s">
        <v>99</v>
      </c>
      <c r="H4" s="79" t="s">
        <v>101</v>
      </c>
      <c r="I4" s="80" t="s">
        <v>85</v>
      </c>
      <c r="J4" s="20" t="s">
        <v>86</v>
      </c>
      <c r="K4" s="24" t="s">
        <v>31</v>
      </c>
    </row>
    <row r="5" spans="1:11" x14ac:dyDescent="0.4">
      <c r="A5" s="19">
        <v>45170</v>
      </c>
      <c r="B5" s="21">
        <v>17000</v>
      </c>
      <c r="C5" s="21">
        <v>143000</v>
      </c>
      <c r="D5" s="21">
        <v>169000</v>
      </c>
      <c r="E5" s="21">
        <v>266100</v>
      </c>
      <c r="F5" s="21">
        <v>214200</v>
      </c>
      <c r="G5" s="21">
        <v>2400</v>
      </c>
      <c r="H5" s="21">
        <v>48300</v>
      </c>
      <c r="I5" s="21">
        <v>34000</v>
      </c>
      <c r="J5" s="21">
        <v>32200</v>
      </c>
      <c r="K5" s="23">
        <v>57000</v>
      </c>
    </row>
    <row r="6" spans="1:11" x14ac:dyDescent="0.4">
      <c r="A6" s="19">
        <v>45292</v>
      </c>
      <c r="B6" s="23">
        <v>17000</v>
      </c>
      <c r="C6" s="23">
        <v>143000</v>
      </c>
      <c r="D6" s="23">
        <v>169000</v>
      </c>
      <c r="E6" s="23">
        <v>280000</v>
      </c>
      <c r="F6" s="23">
        <v>217700</v>
      </c>
      <c r="G6" s="23">
        <v>2500</v>
      </c>
      <c r="H6" s="23">
        <v>49100</v>
      </c>
      <c r="I6" s="23">
        <v>34000</v>
      </c>
      <c r="J6" s="23">
        <v>32700</v>
      </c>
      <c r="K6" s="23">
        <v>57000</v>
      </c>
    </row>
    <row r="7" spans="1:11" x14ac:dyDescent="0.4">
      <c r="A7" s="19">
        <v>45383</v>
      </c>
      <c r="B7" s="23">
        <v>17000</v>
      </c>
      <c r="C7" s="23">
        <v>143000</v>
      </c>
      <c r="D7" s="23">
        <v>169000</v>
      </c>
      <c r="E7" s="23">
        <v>297100</v>
      </c>
      <c r="F7" s="23">
        <v>217700</v>
      </c>
      <c r="G7" s="23">
        <v>2500</v>
      </c>
      <c r="H7" s="23">
        <v>49100</v>
      </c>
      <c r="I7" s="23">
        <v>34000</v>
      </c>
      <c r="J7" s="23">
        <v>32700</v>
      </c>
      <c r="K7" s="23">
        <v>57000</v>
      </c>
    </row>
    <row r="8" spans="1:11" x14ac:dyDescent="0.4">
      <c r="A8" s="19">
        <v>45536</v>
      </c>
      <c r="B8" s="21">
        <v>17000</v>
      </c>
      <c r="C8" s="21">
        <v>143000</v>
      </c>
      <c r="D8" s="21">
        <v>169000</v>
      </c>
      <c r="E8" s="21">
        <v>297100</v>
      </c>
      <c r="F8" s="21">
        <v>237500</v>
      </c>
      <c r="G8" s="21">
        <v>2700</v>
      </c>
      <c r="H8" s="21">
        <v>53600</v>
      </c>
      <c r="I8" s="21">
        <v>34000</v>
      </c>
      <c r="J8" s="21">
        <v>35700</v>
      </c>
      <c r="K8" s="23">
        <v>57000</v>
      </c>
    </row>
    <row r="9" spans="1:11" x14ac:dyDescent="0.4">
      <c r="A9" s="19">
        <v>45566</v>
      </c>
      <c r="B9" s="21">
        <v>17000</v>
      </c>
      <c r="C9" s="21">
        <v>143000</v>
      </c>
      <c r="D9" s="21">
        <v>169000</v>
      </c>
      <c r="E9" s="21">
        <v>315400</v>
      </c>
      <c r="F9" s="21">
        <v>237500</v>
      </c>
      <c r="G9" s="21">
        <v>2700</v>
      </c>
      <c r="H9" s="21">
        <v>53600</v>
      </c>
      <c r="I9" s="21">
        <v>34000</v>
      </c>
      <c r="J9" s="21">
        <v>35700</v>
      </c>
      <c r="K9" s="23">
        <v>57000</v>
      </c>
    </row>
    <row r="10" spans="1:11" x14ac:dyDescent="0.4">
      <c r="A10" s="19">
        <v>45597</v>
      </c>
      <c r="B10" s="21">
        <v>17000</v>
      </c>
      <c r="C10" s="21">
        <v>143000</v>
      </c>
      <c r="D10" s="21">
        <v>169000</v>
      </c>
      <c r="E10" s="21">
        <v>296600</v>
      </c>
      <c r="F10" s="21">
        <v>237500</v>
      </c>
      <c r="G10" s="21">
        <v>2700</v>
      </c>
      <c r="H10" s="21">
        <v>53600</v>
      </c>
      <c r="I10" s="21">
        <v>34000</v>
      </c>
      <c r="J10" s="21">
        <v>35700</v>
      </c>
      <c r="K10" s="23">
        <v>57000</v>
      </c>
    </row>
    <row r="11" spans="1:11" x14ac:dyDescent="0.4">
      <c r="A11" s="19">
        <v>45658</v>
      </c>
      <c r="B11" s="21">
        <v>17000</v>
      </c>
      <c r="C11" s="21">
        <v>143000</v>
      </c>
      <c r="D11" s="21">
        <v>169000</v>
      </c>
      <c r="E11" s="21">
        <v>300000</v>
      </c>
      <c r="F11" s="21">
        <v>230500</v>
      </c>
      <c r="G11" s="21">
        <v>2600</v>
      </c>
      <c r="H11" s="21">
        <v>52000</v>
      </c>
      <c r="I11" s="21">
        <v>34000</v>
      </c>
      <c r="J11" s="21">
        <v>34700</v>
      </c>
      <c r="K11" s="23">
        <v>57000</v>
      </c>
    </row>
    <row r="12" spans="1:11" x14ac:dyDescent="0.4">
      <c r="A12" s="19">
        <v>45931</v>
      </c>
      <c r="B12" s="21">
        <v>17000</v>
      </c>
      <c r="C12" s="21">
        <v>143000</v>
      </c>
      <c r="D12" s="21">
        <v>169000</v>
      </c>
      <c r="E12" s="21">
        <v>317600</v>
      </c>
      <c r="F12" s="21">
        <v>242700</v>
      </c>
      <c r="G12" s="21">
        <v>2700</v>
      </c>
      <c r="H12" s="21">
        <v>54700</v>
      </c>
      <c r="I12" s="21">
        <v>34000</v>
      </c>
      <c r="J12" s="21">
        <v>36500</v>
      </c>
      <c r="K12" s="23">
        <v>57000</v>
      </c>
    </row>
    <row r="13" spans="1:11" x14ac:dyDescent="0.4">
      <c r="A13" s="19"/>
      <c r="B13" s="21"/>
      <c r="C13" s="21"/>
      <c r="D13" s="21"/>
      <c r="E13" s="21"/>
      <c r="F13" s="21"/>
      <c r="G13" s="21"/>
      <c r="H13" s="21"/>
      <c r="I13" s="21"/>
      <c r="J13" s="21"/>
      <c r="K13" s="23"/>
    </row>
    <row r="14" spans="1:11" x14ac:dyDescent="0.4">
      <c r="A14" s="19"/>
      <c r="B14" s="21"/>
      <c r="C14" s="21"/>
      <c r="D14" s="21"/>
      <c r="E14" s="21"/>
      <c r="F14" s="21"/>
      <c r="G14" s="21"/>
      <c r="H14" s="21"/>
      <c r="I14" s="21"/>
      <c r="J14" s="21"/>
      <c r="K14" s="23"/>
    </row>
    <row r="15" spans="1:11" x14ac:dyDescent="0.4">
      <c r="A15" s="19"/>
      <c r="B15" s="21"/>
      <c r="C15" s="21"/>
      <c r="D15" s="21"/>
      <c r="E15" s="21"/>
      <c r="F15" s="21"/>
      <c r="G15" s="21"/>
      <c r="H15" s="21"/>
      <c r="I15" s="21"/>
      <c r="J15" s="21"/>
      <c r="K15" s="23"/>
    </row>
    <row r="16" spans="1:11" x14ac:dyDescent="0.4">
      <c r="A16" s="19"/>
      <c r="B16" s="21"/>
      <c r="C16" s="21"/>
      <c r="D16" s="21"/>
      <c r="E16" s="21"/>
      <c r="F16" s="21"/>
      <c r="G16" s="21"/>
      <c r="H16" s="21"/>
      <c r="I16" s="21"/>
      <c r="J16" s="21"/>
      <c r="K16" s="23"/>
    </row>
    <row r="17" spans="1:11" x14ac:dyDescent="0.4">
      <c r="A17" s="19"/>
      <c r="B17" s="21"/>
      <c r="C17" s="21"/>
      <c r="D17" s="21"/>
      <c r="E17" s="21"/>
      <c r="F17" s="21"/>
      <c r="G17" s="21"/>
      <c r="H17" s="21"/>
      <c r="I17" s="21"/>
      <c r="J17" s="21"/>
      <c r="K17" s="23"/>
    </row>
    <row r="18" spans="1:11" x14ac:dyDescent="0.4">
      <c r="A18" s="19"/>
      <c r="B18" s="21"/>
      <c r="C18" s="21"/>
      <c r="D18" s="21"/>
      <c r="E18" s="21"/>
      <c r="F18" s="21"/>
      <c r="G18" s="21"/>
      <c r="H18" s="21"/>
      <c r="I18" s="21"/>
      <c r="J18" s="21"/>
      <c r="K18" s="23"/>
    </row>
    <row r="19" spans="1:11" x14ac:dyDescent="0.4">
      <c r="A19" s="19"/>
      <c r="B19" s="21"/>
      <c r="C19" s="21"/>
      <c r="D19" s="21"/>
      <c r="E19" s="21"/>
      <c r="F19" s="21"/>
      <c r="G19" s="21"/>
      <c r="H19" s="21"/>
      <c r="I19" s="21"/>
      <c r="J19" s="21"/>
      <c r="K19" s="23"/>
    </row>
    <row r="20" spans="1:11" x14ac:dyDescent="0.4">
      <c r="A20" s="19"/>
      <c r="B20" s="21"/>
      <c r="C20" s="21"/>
      <c r="D20" s="21"/>
      <c r="E20" s="21"/>
      <c r="F20" s="21"/>
      <c r="G20" s="21"/>
      <c r="H20" s="21"/>
      <c r="I20" s="21"/>
      <c r="J20" s="21"/>
      <c r="K20" s="23"/>
    </row>
    <row r="21" spans="1:11" x14ac:dyDescent="0.4">
      <c r="A21" s="19"/>
      <c r="B21" s="21"/>
      <c r="C21" s="21"/>
      <c r="D21" s="21"/>
      <c r="E21" s="21"/>
      <c r="F21" s="21"/>
      <c r="G21" s="21"/>
      <c r="H21" s="21"/>
      <c r="I21" s="21"/>
      <c r="J21" s="21"/>
      <c r="K21" s="23"/>
    </row>
    <row r="22" spans="1:11" x14ac:dyDescent="0.4">
      <c r="A22" s="19"/>
      <c r="B22" s="21"/>
      <c r="C22" s="21"/>
      <c r="D22" s="21"/>
      <c r="E22" s="21"/>
      <c r="F22" s="21"/>
      <c r="G22" s="21"/>
      <c r="H22" s="21"/>
      <c r="I22" s="21"/>
      <c r="J22" s="21"/>
      <c r="K22" s="23"/>
    </row>
    <row r="23" spans="1:11" x14ac:dyDescent="0.4">
      <c r="A23" s="19"/>
      <c r="B23" s="21"/>
      <c r="C23" s="21"/>
      <c r="D23" s="21"/>
      <c r="E23" s="21"/>
      <c r="F23" s="21"/>
      <c r="G23" s="21"/>
      <c r="H23" s="21"/>
      <c r="I23" s="21"/>
      <c r="J23" s="21"/>
      <c r="K23" s="23"/>
    </row>
    <row r="24" spans="1:11" x14ac:dyDescent="0.4">
      <c r="A24" s="19"/>
      <c r="B24" s="21"/>
      <c r="C24" s="21"/>
      <c r="D24" s="21"/>
      <c r="E24" s="21"/>
      <c r="F24" s="21"/>
      <c r="G24" s="21"/>
      <c r="H24" s="21"/>
      <c r="I24" s="21"/>
      <c r="J24" s="21"/>
      <c r="K24" s="23"/>
    </row>
    <row r="25" spans="1:11" x14ac:dyDescent="0.4">
      <c r="A25" s="19"/>
      <c r="B25" s="21"/>
      <c r="C25" s="21"/>
      <c r="D25" s="21"/>
      <c r="E25" s="21"/>
      <c r="F25" s="21"/>
      <c r="G25" s="21"/>
      <c r="H25" s="21"/>
      <c r="I25" s="21"/>
      <c r="J25" s="21"/>
      <c r="K25" s="23"/>
    </row>
  </sheetData>
  <sheetProtection sheet="1" objects="1" scenarios="1"/>
  <phoneticPr fontId="1"/>
  <conditionalFormatting sqref="B6:K25">
    <cfRule type="expression" dxfId="1" priority="1">
      <formula>AND(B6&gt;0,B6&lt;&gt;B5)</formula>
    </cfRule>
  </conditionalFormatting>
  <conditionalFormatting sqref="B7:K7">
    <cfRule type="expression" dxfId="0" priority="3">
      <formula>AND(B7&gt;0,B7&lt;&gt;#REF!)</formula>
    </cfRule>
  </conditionalFormatting>
  <pageMargins left="0.7" right="0.7" top="0.75" bottom="0.75" header="0.3" footer="0.3"/>
  <pageSetup paperSize="9" orientation="portrait" horizontalDpi="1200" verticalDpi="1200" r:id="rId1"/>
  <headerFooter>
    <oddHeader>&amp;R&amp;"ＭＳ ゴシック,標準"&amp;14機密性〇</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499984740745262"/>
  </sheetPr>
  <dimension ref="A1:R22"/>
  <sheetViews>
    <sheetView topLeftCell="F1" zoomScaleNormal="100" workbookViewId="0">
      <selection activeCell="K3" sqref="K3"/>
    </sheetView>
  </sheetViews>
  <sheetFormatPr defaultColWidth="9" defaultRowHeight="14.25" x14ac:dyDescent="0.4"/>
  <cols>
    <col min="1" max="1" width="3.625" style="1" customWidth="1"/>
    <col min="2" max="2" width="27.5" style="1" customWidth="1"/>
    <col min="3" max="3" width="9.5" style="2" bestFit="1" customWidth="1"/>
    <col min="4" max="5" width="9" style="1"/>
    <col min="6" max="6" width="9" style="1" customWidth="1"/>
    <col min="7" max="7" width="17.5" style="1" bestFit="1" customWidth="1"/>
    <col min="8" max="8" width="9" style="1" customWidth="1"/>
    <col min="9" max="9" width="9" style="1"/>
    <col min="10" max="10" width="29.125" style="1" customWidth="1"/>
    <col min="11" max="11" width="27" style="1" customWidth="1"/>
    <col min="12" max="12" width="12.125" style="173" customWidth="1"/>
    <col min="13" max="13" width="15.875" style="1" customWidth="1"/>
    <col min="14" max="14" width="27" style="1" customWidth="1"/>
    <col min="15" max="16384" width="9" style="1"/>
  </cols>
  <sheetData>
    <row r="1" spans="1:18" x14ac:dyDescent="0.4">
      <c r="A1" s="1" t="s">
        <v>16</v>
      </c>
      <c r="J1" s="163" t="s">
        <v>163</v>
      </c>
    </row>
    <row r="2" spans="1:18" x14ac:dyDescent="0.4">
      <c r="B2" s="3" t="s">
        <v>17</v>
      </c>
      <c r="C2" s="4" t="s">
        <v>164</v>
      </c>
      <c r="G2" s="5" t="s">
        <v>50</v>
      </c>
      <c r="J2" s="180" t="s">
        <v>172</v>
      </c>
    </row>
    <row r="3" spans="1:18" x14ac:dyDescent="0.4">
      <c r="B3" s="5" t="s">
        <v>168</v>
      </c>
      <c r="C3" s="4">
        <v>0.5</v>
      </c>
      <c r="G3" s="5" t="s">
        <v>28</v>
      </c>
      <c r="J3" s="5" t="s">
        <v>27</v>
      </c>
      <c r="K3" s="167">
        <v>45658</v>
      </c>
      <c r="L3" s="174"/>
      <c r="N3" s="165" t="str">
        <f>IF(ISNA(MATCH(K3,料金テーブル表!A:A,0)),"※適用日は、料金テーブルに存在する値を選択してください。","")</f>
        <v/>
      </c>
    </row>
    <row r="4" spans="1:18" x14ac:dyDescent="0.4">
      <c r="B4" s="5" t="s">
        <v>169</v>
      </c>
      <c r="C4" s="4">
        <v>0.5</v>
      </c>
      <c r="G4" s="5" t="s">
        <v>29</v>
      </c>
      <c r="K4" s="166"/>
      <c r="L4" s="175"/>
    </row>
    <row r="5" spans="1:18" x14ac:dyDescent="0.4">
      <c r="B5" s="5" t="s">
        <v>171</v>
      </c>
      <c r="C5" s="4">
        <v>0.5</v>
      </c>
      <c r="K5" s="166"/>
      <c r="L5" s="175"/>
    </row>
    <row r="6" spans="1:18" x14ac:dyDescent="0.4">
      <c r="B6" s="5" t="s">
        <v>18</v>
      </c>
      <c r="C6" s="4">
        <f>1/3</f>
        <v>0.33333333333333331</v>
      </c>
      <c r="J6" s="5" t="s">
        <v>165</v>
      </c>
      <c r="K6" s="168" t="s">
        <v>167</v>
      </c>
      <c r="L6" s="176">
        <f>VLOOKUP(K6,$B$3:$C$8,2,FALSE)</f>
        <v>0.33333333333333331</v>
      </c>
      <c r="N6" s="165" t="str">
        <f>IF(K6="","※要件は、必ず選択してください。","")</f>
        <v/>
      </c>
    </row>
    <row r="7" spans="1:18" x14ac:dyDescent="0.4">
      <c r="B7" s="5" t="s">
        <v>167</v>
      </c>
      <c r="C7" s="4">
        <f>1/3</f>
        <v>0.33333333333333331</v>
      </c>
      <c r="J7" s="5" t="s">
        <v>162</v>
      </c>
      <c r="K7" s="169">
        <v>45</v>
      </c>
      <c r="L7" s="177"/>
      <c r="N7" s="165" t="str">
        <f>IF(K7="","※願書枚数は、31～50を入力してください。","")</f>
        <v/>
      </c>
    </row>
    <row r="8" spans="1:18" x14ac:dyDescent="0.4">
      <c r="B8" s="5" t="s">
        <v>170</v>
      </c>
      <c r="C8" s="4">
        <v>0.25</v>
      </c>
      <c r="K8" s="166"/>
      <c r="L8" s="175"/>
    </row>
    <row r="9" spans="1:18" x14ac:dyDescent="0.4">
      <c r="B9" s="5" t="s">
        <v>19</v>
      </c>
      <c r="C9" s="4">
        <v>1</v>
      </c>
      <c r="K9" s="166"/>
      <c r="L9" s="175"/>
    </row>
    <row r="10" spans="1:18" x14ac:dyDescent="0.4">
      <c r="J10" s="5" t="s">
        <v>175</v>
      </c>
      <c r="K10" s="3" t="s">
        <v>9</v>
      </c>
      <c r="L10" s="178" t="s">
        <v>166</v>
      </c>
      <c r="M10" s="3" t="s">
        <v>174</v>
      </c>
    </row>
    <row r="11" spans="1:18" x14ac:dyDescent="0.4">
      <c r="J11" s="164" t="s">
        <v>160</v>
      </c>
      <c r="K11" s="168" t="s">
        <v>167</v>
      </c>
      <c r="L11" s="176">
        <f>VLOOKUP(K11,$B$3:$C$8,2,FALSE)</f>
        <v>0.33333333333333331</v>
      </c>
      <c r="M11" s="171">
        <v>0.5</v>
      </c>
      <c r="N11" s="165" t="str">
        <f>IF(OR(K11="",M11=""),"※" &amp; IF(K11="","要件","") &amp; IF(AND(K11="",M11=""),"、","") &amp; IF(M11="","持ち分割合","") &amp; "は、必ず選択してください。","")</f>
        <v/>
      </c>
      <c r="R11" s="1">
        <f>VLOOKUP(K11,$B$3:$C$8,2,FALSE)</f>
        <v>0.33333333333333331</v>
      </c>
    </row>
    <row r="12" spans="1:18" x14ac:dyDescent="0.4">
      <c r="J12" s="164" t="s">
        <v>161</v>
      </c>
      <c r="K12" s="168" t="s">
        <v>171</v>
      </c>
      <c r="L12" s="176">
        <f>VLOOKUP(K12,$B$3:$C$8,2,FALSE)</f>
        <v>0.5</v>
      </c>
      <c r="M12" s="170">
        <f>1-M11</f>
        <v>0.5</v>
      </c>
      <c r="N12" s="165" t="str">
        <f>IF(K12="","※要件は、必ず選択してください。","")</f>
        <v/>
      </c>
      <c r="R12" s="1">
        <f>VLOOKUP(K12,$B$3:$C$8,2,FALSE)</f>
        <v>0.5</v>
      </c>
    </row>
    <row r="13" spans="1:18" x14ac:dyDescent="0.4">
      <c r="J13" s="5" t="s">
        <v>162</v>
      </c>
      <c r="K13" s="169">
        <v>45</v>
      </c>
      <c r="L13" s="177"/>
      <c r="N13" s="165" t="str">
        <f>IF(K13="","※願書枚数は、31～50を入力してください。","")</f>
        <v/>
      </c>
    </row>
    <row r="16" spans="1:18" x14ac:dyDescent="0.4">
      <c r="J16" s="1" t="s">
        <v>173</v>
      </c>
    </row>
    <row r="17" spans="10:12" x14ac:dyDescent="0.4">
      <c r="J17" s="1" t="s">
        <v>21</v>
      </c>
      <c r="K17" s="172">
        <f>VLOOKUP(要件!$K$3,料金テーブル,出願人要件等入力!AT3,FALSE)</f>
        <v>17000</v>
      </c>
      <c r="L17" s="179"/>
    </row>
    <row r="18" spans="10:12" x14ac:dyDescent="0.4">
      <c r="J18" s="1" t="s">
        <v>22</v>
      </c>
      <c r="K18" s="172">
        <f>VLOOKUP(要件!$K$3,料金テーブル,出願人要件等入力!AT4,FALSE)</f>
        <v>143000</v>
      </c>
      <c r="L18" s="179"/>
    </row>
    <row r="19" spans="10:12" x14ac:dyDescent="0.4">
      <c r="J19" s="1" t="s">
        <v>30</v>
      </c>
      <c r="K19" s="172"/>
      <c r="L19" s="179"/>
    </row>
    <row r="20" spans="10:12" x14ac:dyDescent="0.4">
      <c r="J20" s="1" t="s">
        <v>152</v>
      </c>
      <c r="K20" s="172">
        <f>VLOOKUP(要件!$K$3,料金テーブル,出願人要件等入力!AT5,FALSE)</f>
        <v>230500</v>
      </c>
      <c r="L20" s="179"/>
    </row>
    <row r="21" spans="10:12" x14ac:dyDescent="0.4">
      <c r="J21" s="1" t="s">
        <v>153</v>
      </c>
      <c r="K21" s="172">
        <f>VLOOKUP(要件!$K$3,料金テーブル,出願人要件等入力!AT6,FALSE)</f>
        <v>2600</v>
      </c>
      <c r="L21" s="179"/>
    </row>
    <row r="22" spans="10:12" x14ac:dyDescent="0.4">
      <c r="J22" s="1" t="s">
        <v>154</v>
      </c>
      <c r="K22" s="172">
        <f>VLOOKUP(要件!$K$3,料金テーブル,出願人要件等入力!AT7,FALSE)</f>
        <v>52000</v>
      </c>
      <c r="L22" s="179"/>
    </row>
  </sheetData>
  <sheetProtection sheet="1"/>
  <phoneticPr fontId="1"/>
  <dataValidations count="3">
    <dataValidation type="list" showInputMessage="1" showErrorMessage="1" sqref="K11:K12 K6" xr:uid="{4ACA67F0-A435-440D-8CF6-7F250ED85C6D}">
      <formula1>$B$3:$B$8</formula1>
    </dataValidation>
    <dataValidation type="whole" allowBlank="1" showInputMessage="1" showErrorMessage="1" error="願書枚数は、31～50を入力してください。" sqref="K7:L7 K13:L13" xr:uid="{6814007D-C74E-4D0E-B693-230C3BB79533}">
      <formula1>31</formula1>
      <formula2>50</formula2>
    </dataValidation>
    <dataValidation type="list" allowBlank="1" showInputMessage="1" showErrorMessage="1" sqref="M11" xr:uid="{3C8A6E3C-2F91-48F5-B3A6-055279A24BC9}">
      <formula1>"0.5, 0.333333333333333333, 0.25"</formula1>
    </dataValidation>
  </dataValidations>
  <pageMargins left="0.74803149606299213" right="0.74803149606299213" top="0.98425196850393704" bottom="0.98425196850393704" header="0.51181102362204722" footer="0.51181102362204722"/>
  <pageSetup paperSize="9" orientation="portrait" r:id="rId1"/>
  <headerFooter alignWithMargins="0">
    <oddHeader>&amp;R&amp;"ＭＳ ゴシック,標準"&amp;14機密性○</oddHeader>
  </headerFooter>
  <ignoredErrors>
    <ignoredError sqref="L6 L11:L1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ECBD8E1-9083-44A3-BF43-B04162AA6F1B}">
          <x14:formula1>
            <xm:f>料金テーブル表!$A$5:$A$25</xm:f>
          </x14:formula1>
          <xm:sqref>K3:L3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3" ma:contentTypeDescription="新しいドキュメントを作成します。" ma:contentTypeScope="" ma:versionID="c8948b177e5f5fd2c418552f1945eaa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53b3939177446d130eab6fe532a348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1"/>
          <xsd:enumeration value="選択肢 2"/>
          <xsd:enumeration value="選択肢 3"/>
        </xsd:restriction>
      </xsd:simpleType>
    </xsd:element>
    <xsd:element name="_x30c6__x30b9__x30c8_" ma:index="30" nillable="true" ma:displayName="テスト" ma:format="Dropdown"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format="Dropdown" ma:internalName="_x4e26__x3073__x66ff__x3048_">
      <xsd:simpleType>
        <xsd:restriction base="dms:Text">
          <xsd:maxLength value="255"/>
        </xsd:restriction>
      </xsd:simpleType>
    </xsd:element>
    <xsd:element name="name" ma:index="36" nillable="true" ma:displayName="name" ma:format="Dropdown" ma:internalName="name" ma:percentage="FALSE">
      <xsd:simpleType>
        <xsd:restriction base="dms:Number"/>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選択肢 1"/>
          <xsd:enumeration value="選択肢 2"/>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_x30b7__x30e7__x30fc__x30c8__x30ab__x30c3__x30c8_ xmlns="321e8871-1c24-4f8a-8f1d-b9016d52d4a3">
      <Url xsi:nil="true"/>
      <Description xsi:nil="true"/>
    </_x30b7__x30e7__x30fc__x30c8__x30ab__x30c3__x30c8_>
    <TaxCatchAll xmlns="8ee52e10-ab1a-4c94-9d82-ab5dbf513320" xsi:nil="true"/>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ModernAudienceTargetUserField xmlns="321e8871-1c24-4f8a-8f1d-b9016d52d4a3">
      <UserInfo>
        <DisplayName/>
        <AccountId xsi:nil="true"/>
        <AccountType/>
      </UserInfo>
    </_ModernAudienceTargetUserField>
    <_x25cb__x65e5__x4ed8__x3068__x6642__x523b_ xmlns="321e8871-1c24-4f8a-8f1d-b9016d52d4a3"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test_col xmlns="321e8871-1c24-4f8a-8f1d-b9016d52d4a3">テスト</test_col>
    <sort xmlns="321e8871-1c24-4f8a-8f1d-b9016d52d4a3" xsi:nil="true"/>
    <_x30c6__x30b9__x30c8_ xmlns="321e8871-1c24-4f8a-8f1d-b9016d52d4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89009-CF58-4902-A608-5B79E050D1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C94D9C-8926-4F53-8505-61A580863F5B}">
  <ds:schemaRefs>
    <ds:schemaRef ds:uri="http://schemas.microsoft.com/office/2006/documentManagement/types"/>
    <ds:schemaRef ds:uri="http://purl.org/dc/dcmitype/"/>
    <ds:schemaRef ds:uri="http://purl.org/dc/elements/1.1/"/>
    <ds:schemaRef ds:uri="321e8871-1c24-4f8a-8f1d-b9016d52d4a3"/>
    <ds:schemaRef ds:uri="http://schemas.microsoft.com/office/2006/metadata/properties"/>
    <ds:schemaRef ds:uri="http://schemas.microsoft.com/office/infopath/2007/PartnerControls"/>
    <ds:schemaRef ds:uri="8ee52e10-ab1a-4c94-9d82-ab5dbf513320"/>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D65D3175-6AEF-4905-9F7C-108C4CC6C6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出願人要件等入力</vt:lpstr>
      <vt:lpstr>インターネット出願ソフト料金表</vt:lpstr>
      <vt:lpstr>書面による手続</vt:lpstr>
      <vt:lpstr>軽減・支援措置の手数料計算方法</vt:lpstr>
      <vt:lpstr>料金テーブル表</vt:lpstr>
      <vt:lpstr>要件</vt:lpstr>
      <vt:lpstr>軽減・支援措置の手数料計算方法!Print_Area</vt:lpstr>
      <vt:lpstr>書面による手続!Print_Area</vt:lpstr>
      <vt:lpstr>出願人要件等入力欄</vt:lpstr>
      <vt:lpstr>料金テーブル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2019-03-22T07:46:01Z</dcterms:created>
  <dcterms:modified xsi:type="dcterms:W3CDTF">2025-09-18T01:53:39Z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